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nislav.Rogachev\Documents\Stanislav A. Rogachev\Давыдович Давид\"/>
    </mc:Choice>
  </mc:AlternateContent>
  <xr:revisionPtr revIDLastSave="0" documentId="13_ncr:1_{66A407DA-0B13-4816-A8AF-BC652953FDAC}" xr6:coauthVersionLast="43" xr6:coauthVersionMax="43" xr10:uidLastSave="{00000000-0000-0000-0000-000000000000}"/>
  <bookViews>
    <workbookView xWindow="-120" yWindow="-120" windowWidth="29040" windowHeight="15840" activeTab="7" xr2:uid="{CDC58F1F-EA73-4930-9028-623C932F61DC}"/>
  </bookViews>
  <sheets>
    <sheet name="bitcoin" sheetId="1" r:id="rId1"/>
    <sheet name="ethereum" sheetId="2" r:id="rId2"/>
    <sheet name="litecoin" sheetId="3" r:id="rId3"/>
    <sheet name="bitcoin-cash" sheetId="4" r:id="rId4"/>
    <sheet name="dash" sheetId="5" r:id="rId5"/>
    <sheet name="cryptocurrencies price" sheetId="6" r:id="rId6"/>
    <sheet name="crptcrrncs return" sheetId="8" r:id="rId7"/>
    <sheet name="for MAPE" sheetId="9" r:id="rId8"/>
    <sheet name="cryptocurrencies marketcap" sheetId="7" r:id="rId9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16" i="9" l="1"/>
  <c r="O229" i="9"/>
  <c r="O4" i="9"/>
  <c r="O5" i="9"/>
  <c r="O6" i="9"/>
  <c r="O8" i="9"/>
  <c r="O12" i="9"/>
  <c r="O15" i="9"/>
  <c r="O16" i="9"/>
  <c r="O17" i="9"/>
  <c r="O21" i="9"/>
  <c r="O23" i="9"/>
  <c r="O27" i="9"/>
  <c r="O32" i="9"/>
  <c r="O34" i="9"/>
  <c r="O35" i="9"/>
  <c r="O36" i="9"/>
  <c r="O37" i="9"/>
  <c r="O39" i="9"/>
  <c r="O48" i="9"/>
  <c r="O50" i="9"/>
  <c r="O52" i="9"/>
  <c r="O54" i="9"/>
  <c r="O57" i="9"/>
  <c r="O59" i="9"/>
  <c r="O63" i="9"/>
  <c r="O64" i="9"/>
  <c r="O66" i="9"/>
  <c r="O68" i="9"/>
  <c r="O70" i="9"/>
  <c r="O71" i="9"/>
  <c r="O77" i="9"/>
  <c r="O78" i="9"/>
  <c r="O79" i="9"/>
  <c r="O80" i="9"/>
  <c r="O81" i="9"/>
  <c r="O82" i="9"/>
  <c r="O85" i="9"/>
  <c r="O88" i="9"/>
  <c r="O91" i="9"/>
  <c r="O93" i="9"/>
  <c r="O96" i="9"/>
  <c r="O98" i="9"/>
  <c r="O100" i="9"/>
  <c r="O104" i="9"/>
  <c r="O107" i="9"/>
  <c r="O110" i="9"/>
  <c r="O112" i="9"/>
  <c r="O114" i="9"/>
  <c r="O116" i="9"/>
  <c r="O118" i="9"/>
  <c r="O119" i="9"/>
  <c r="O120" i="9"/>
  <c r="O122" i="9"/>
  <c r="O123" i="9"/>
  <c r="O126" i="9"/>
  <c r="O127" i="9"/>
  <c r="O129" i="9"/>
  <c r="O132" i="9"/>
  <c r="O133" i="9"/>
  <c r="O135" i="9"/>
  <c r="O136" i="9"/>
  <c r="O139" i="9"/>
  <c r="O141" i="9"/>
  <c r="O142" i="9"/>
  <c r="O144" i="9"/>
  <c r="O145" i="9"/>
  <c r="O146" i="9"/>
  <c r="O147" i="9"/>
  <c r="O149" i="9"/>
  <c r="O153" i="9"/>
  <c r="O155" i="9"/>
  <c r="O157" i="9"/>
  <c r="O160" i="9"/>
  <c r="O161" i="9"/>
  <c r="O163" i="9"/>
  <c r="O164" i="9"/>
  <c r="O168" i="9"/>
  <c r="O169" i="9"/>
  <c r="O171" i="9"/>
  <c r="O176" i="9"/>
  <c r="O177" i="9"/>
  <c r="O179" i="9"/>
  <c r="O180" i="9"/>
  <c r="O182" i="9"/>
  <c r="O184" i="9"/>
  <c r="O186" i="9"/>
  <c r="O188" i="9"/>
  <c r="O189" i="9"/>
  <c r="O190" i="9"/>
  <c r="O191" i="9"/>
  <c r="O192" i="9"/>
  <c r="O193" i="9"/>
  <c r="O197" i="9"/>
  <c r="O199" i="9"/>
  <c r="O203" i="9"/>
  <c r="O205" i="9"/>
  <c r="O208" i="9"/>
  <c r="O214" i="9"/>
  <c r="O215" i="9"/>
  <c r="O216" i="9"/>
  <c r="O218" i="9"/>
  <c r="O221" i="9"/>
  <c r="O224" i="9"/>
  <c r="O225" i="9"/>
  <c r="O226" i="9"/>
  <c r="O232" i="9"/>
  <c r="O233" i="9"/>
  <c r="O234" i="9"/>
  <c r="O235" i="9"/>
  <c r="O236" i="9"/>
  <c r="O237" i="9"/>
  <c r="O239" i="9"/>
  <c r="O240" i="9"/>
  <c r="O241" i="9"/>
  <c r="O243" i="9"/>
  <c r="O245" i="9"/>
  <c r="O247" i="9"/>
  <c r="O249" i="9"/>
  <c r="O250" i="9"/>
  <c r="O252" i="9"/>
  <c r="O253" i="9"/>
  <c r="O254" i="9"/>
  <c r="O257" i="9"/>
  <c r="O259" i="9"/>
  <c r="O260" i="9"/>
  <c r="O262" i="9"/>
  <c r="O264" i="9"/>
  <c r="O265" i="9"/>
  <c r="O267" i="9"/>
  <c r="O269" i="9"/>
  <c r="O270" i="9"/>
  <c r="O271" i="9"/>
  <c r="O272" i="9"/>
  <c r="O273" i="9"/>
  <c r="O274" i="9"/>
  <c r="O277" i="9"/>
  <c r="O278" i="9"/>
  <c r="O281" i="9"/>
  <c r="O283" i="9"/>
  <c r="O284" i="9"/>
  <c r="O286" i="9"/>
  <c r="O287" i="9"/>
  <c r="O288" i="9"/>
  <c r="O289" i="9"/>
  <c r="O290" i="9"/>
  <c r="O291" i="9"/>
  <c r="O294" i="9"/>
  <c r="O295" i="9"/>
  <c r="O296" i="9"/>
  <c r="O297" i="9"/>
  <c r="O298" i="9"/>
  <c r="O299" i="9"/>
  <c r="O301" i="9"/>
  <c r="O302" i="9"/>
  <c r="O304" i="9"/>
  <c r="O306" i="9"/>
  <c r="O307" i="9"/>
  <c r="O308" i="9"/>
  <c r="O309" i="9"/>
  <c r="O312" i="9"/>
  <c r="O313" i="9"/>
  <c r="O314" i="9"/>
  <c r="O316" i="9"/>
  <c r="O317" i="9"/>
  <c r="O318" i="9"/>
  <c r="O319" i="9"/>
  <c r="O322" i="9"/>
  <c r="O323" i="9"/>
  <c r="O324" i="9"/>
  <c r="O326" i="9"/>
  <c r="O327" i="9"/>
  <c r="O329" i="9"/>
  <c r="O330" i="9"/>
  <c r="O331" i="9"/>
  <c r="O333" i="9"/>
  <c r="O334" i="9"/>
  <c r="O335" i="9"/>
  <c r="O336" i="9"/>
  <c r="O337" i="9"/>
  <c r="O338" i="9"/>
  <c r="O339" i="9"/>
  <c r="O340" i="9"/>
  <c r="O341" i="9"/>
  <c r="O343" i="9"/>
  <c r="O345" i="9"/>
  <c r="O346" i="9"/>
  <c r="O351" i="9"/>
  <c r="O352" i="9"/>
  <c r="O354" i="9"/>
  <c r="O356" i="9"/>
  <c r="O358" i="9"/>
  <c r="O360" i="9"/>
  <c r="O364" i="9"/>
  <c r="O365" i="9"/>
  <c r="O366" i="9"/>
  <c r="O368" i="9"/>
  <c r="O369" i="9"/>
  <c r="O370" i="9"/>
  <c r="O371" i="9"/>
  <c r="O372" i="9"/>
  <c r="O373" i="9"/>
  <c r="O374" i="9"/>
  <c r="O375" i="9"/>
  <c r="O376" i="9"/>
  <c r="O377" i="9"/>
  <c r="O378" i="9"/>
  <c r="O379" i="9"/>
  <c r="O380" i="9"/>
  <c r="O381" i="9"/>
  <c r="O382" i="9"/>
  <c r="O383" i="9"/>
  <c r="O384" i="9"/>
  <c r="O385" i="9"/>
  <c r="O386" i="9"/>
  <c r="O387" i="9"/>
  <c r="O388" i="9"/>
  <c r="O389" i="9"/>
  <c r="O390" i="9"/>
  <c r="O3" i="9"/>
  <c r="N367" i="9"/>
  <c r="O367" i="9" s="1"/>
  <c r="N363" i="9"/>
  <c r="O363" i="9" s="1"/>
  <c r="N362" i="9"/>
  <c r="O362" i="9" s="1"/>
  <c r="N361" i="9"/>
  <c r="O361" i="9" s="1"/>
  <c r="N359" i="9"/>
  <c r="O359" i="9" s="1"/>
  <c r="N357" i="9"/>
  <c r="O357" i="9" s="1"/>
  <c r="N355" i="9"/>
  <c r="O355" i="9" s="1"/>
  <c r="N353" i="9"/>
  <c r="O353" i="9" s="1"/>
  <c r="N350" i="9"/>
  <c r="O350" i="9" s="1"/>
  <c r="N349" i="9"/>
  <c r="O349" i="9" s="1"/>
  <c r="N348" i="9"/>
  <c r="O348" i="9" s="1"/>
  <c r="N347" i="9"/>
  <c r="O347" i="9" s="1"/>
  <c r="N344" i="9"/>
  <c r="O344" i="9" s="1"/>
  <c r="N342" i="9"/>
  <c r="O342" i="9" s="1"/>
  <c r="N332" i="9"/>
  <c r="O332" i="9" s="1"/>
  <c r="N328" i="9"/>
  <c r="O328" i="9" s="1"/>
  <c r="N325" i="9"/>
  <c r="O325" i="9" s="1"/>
  <c r="N321" i="9"/>
  <c r="O321" i="9" s="1"/>
  <c r="N320" i="9"/>
  <c r="O320" i="9" s="1"/>
  <c r="N315" i="9"/>
  <c r="O315" i="9" s="1"/>
  <c r="N311" i="9"/>
  <c r="O311" i="9" s="1"/>
  <c r="N310" i="9"/>
  <c r="O310" i="9" s="1"/>
  <c r="N305" i="9"/>
  <c r="O305" i="9" s="1"/>
  <c r="N303" i="9"/>
  <c r="O303" i="9" s="1"/>
  <c r="N300" i="9"/>
  <c r="O300" i="9" s="1"/>
  <c r="N293" i="9"/>
  <c r="O293" i="9" s="1"/>
  <c r="N292" i="9"/>
  <c r="O292" i="9" s="1"/>
  <c r="N285" i="9"/>
  <c r="O285" i="9" s="1"/>
  <c r="N282" i="9"/>
  <c r="O282" i="9" s="1"/>
  <c r="N280" i="9"/>
  <c r="O280" i="9" s="1"/>
  <c r="N279" i="9"/>
  <c r="O279" i="9" s="1"/>
  <c r="N276" i="9"/>
  <c r="O276" i="9" s="1"/>
  <c r="N275" i="9"/>
  <c r="O275" i="9" s="1"/>
  <c r="N268" i="9"/>
  <c r="O268" i="9" s="1"/>
  <c r="N266" i="9"/>
  <c r="O266" i="9" s="1"/>
  <c r="N263" i="9"/>
  <c r="O263" i="9" s="1"/>
  <c r="N261" i="9"/>
  <c r="O261" i="9" s="1"/>
  <c r="N258" i="9"/>
  <c r="O258" i="9" s="1"/>
  <c r="N256" i="9"/>
  <c r="O256" i="9" s="1"/>
  <c r="N255" i="9"/>
  <c r="O255" i="9" s="1"/>
  <c r="N251" i="9"/>
  <c r="O251" i="9" s="1"/>
  <c r="N248" i="9"/>
  <c r="O248" i="9" s="1"/>
  <c r="N246" i="9"/>
  <c r="O246" i="9" s="1"/>
  <c r="N244" i="9"/>
  <c r="O244" i="9" s="1"/>
  <c r="N242" i="9"/>
  <c r="O242" i="9" s="1"/>
  <c r="N238" i="9"/>
  <c r="O238" i="9" s="1"/>
  <c r="N231" i="9"/>
  <c r="O231" i="9" s="1"/>
  <c r="N230" i="9"/>
  <c r="O230" i="9" s="1"/>
  <c r="N228" i="9"/>
  <c r="O228" i="9" s="1"/>
  <c r="N227" i="9"/>
  <c r="O227" i="9" s="1"/>
  <c r="N223" i="9"/>
  <c r="O223" i="9" s="1"/>
  <c r="N222" i="9"/>
  <c r="O222" i="9" s="1"/>
  <c r="N220" i="9"/>
  <c r="O220" i="9" s="1"/>
  <c r="N219" i="9"/>
  <c r="O219" i="9" s="1"/>
  <c r="N217" i="9"/>
  <c r="O217" i="9" s="1"/>
  <c r="N213" i="9"/>
  <c r="O213" i="9" s="1"/>
  <c r="N212" i="9"/>
  <c r="O212" i="9" s="1"/>
  <c r="N211" i="9"/>
  <c r="O211" i="9" s="1"/>
  <c r="N210" i="9"/>
  <c r="O210" i="9" s="1"/>
  <c r="N209" i="9"/>
  <c r="O209" i="9" s="1"/>
  <c r="N207" i="9"/>
  <c r="O207" i="9" s="1"/>
  <c r="N206" i="9"/>
  <c r="O206" i="9" s="1"/>
  <c r="N204" i="9"/>
  <c r="O204" i="9" s="1"/>
  <c r="N202" i="9"/>
  <c r="O202" i="9" s="1"/>
  <c r="N201" i="9"/>
  <c r="O201" i="9" s="1"/>
  <c r="N200" i="9"/>
  <c r="O200" i="9" s="1"/>
  <c r="N198" i="9"/>
  <c r="O198" i="9" s="1"/>
  <c r="N196" i="9"/>
  <c r="O196" i="9" s="1"/>
  <c r="N195" i="9"/>
  <c r="O195" i="9" s="1"/>
  <c r="N194" i="9"/>
  <c r="O194" i="9" s="1"/>
  <c r="N187" i="9"/>
  <c r="O187" i="9" s="1"/>
  <c r="N185" i="9"/>
  <c r="O185" i="9" s="1"/>
  <c r="N183" i="9"/>
  <c r="O183" i="9" s="1"/>
  <c r="N181" i="9"/>
  <c r="O181" i="9" s="1"/>
  <c r="N178" i="9"/>
  <c r="O178" i="9" s="1"/>
  <c r="N175" i="9"/>
  <c r="O175" i="9" s="1"/>
  <c r="N174" i="9"/>
  <c r="O174" i="9" s="1"/>
  <c r="N173" i="9"/>
  <c r="O173" i="9" s="1"/>
  <c r="N172" i="9"/>
  <c r="O172" i="9" s="1"/>
  <c r="N170" i="9"/>
  <c r="O170" i="9" s="1"/>
  <c r="N167" i="9"/>
  <c r="O167" i="9" s="1"/>
  <c r="N166" i="9"/>
  <c r="O166" i="9" s="1"/>
  <c r="N165" i="9"/>
  <c r="O165" i="9" s="1"/>
  <c r="N162" i="9"/>
  <c r="O162" i="9" s="1"/>
  <c r="N159" i="9"/>
  <c r="O159" i="9" s="1"/>
  <c r="N158" i="9"/>
  <c r="O158" i="9" s="1"/>
  <c r="N156" i="9"/>
  <c r="O156" i="9" s="1"/>
  <c r="N154" i="9"/>
  <c r="O154" i="9" s="1"/>
  <c r="N152" i="9"/>
  <c r="O152" i="9" s="1"/>
  <c r="N151" i="9"/>
  <c r="O151" i="9" s="1"/>
  <c r="N150" i="9"/>
  <c r="O150" i="9" s="1"/>
  <c r="N148" i="9"/>
  <c r="O148" i="9" s="1"/>
  <c r="N143" i="9"/>
  <c r="O143" i="9" s="1"/>
  <c r="N140" i="9"/>
  <c r="O140" i="9" s="1"/>
  <c r="N138" i="9"/>
  <c r="O138" i="9" s="1"/>
  <c r="N137" i="9"/>
  <c r="O137" i="9" s="1"/>
  <c r="N134" i="9"/>
  <c r="O134" i="9" s="1"/>
  <c r="N131" i="9"/>
  <c r="O131" i="9" s="1"/>
  <c r="N130" i="9"/>
  <c r="O130" i="9" s="1"/>
  <c r="N128" i="9"/>
  <c r="O128" i="9" s="1"/>
  <c r="N125" i="9"/>
  <c r="O125" i="9" s="1"/>
  <c r="N124" i="9"/>
  <c r="O124" i="9" s="1"/>
  <c r="N121" i="9"/>
  <c r="O121" i="9" s="1"/>
  <c r="N117" i="9"/>
  <c r="O117" i="9" s="1"/>
  <c r="N115" i="9"/>
  <c r="O115" i="9" s="1"/>
  <c r="N113" i="9"/>
  <c r="O113" i="9" s="1"/>
  <c r="N111" i="9"/>
  <c r="O111" i="9" s="1"/>
  <c r="N109" i="9"/>
  <c r="O109" i="9" s="1"/>
  <c r="N108" i="9"/>
  <c r="O108" i="9" s="1"/>
  <c r="N106" i="9"/>
  <c r="O106" i="9" s="1"/>
  <c r="N105" i="9"/>
  <c r="O105" i="9" s="1"/>
  <c r="N103" i="9"/>
  <c r="O103" i="9" s="1"/>
  <c r="N102" i="9"/>
  <c r="O102" i="9" s="1"/>
  <c r="N101" i="9"/>
  <c r="O101" i="9" s="1"/>
  <c r="N99" i="9"/>
  <c r="O99" i="9" s="1"/>
  <c r="N97" i="9"/>
  <c r="O97" i="9" s="1"/>
  <c r="N95" i="9"/>
  <c r="O95" i="9" s="1"/>
  <c r="N94" i="9"/>
  <c r="O94" i="9" s="1"/>
  <c r="N92" i="9"/>
  <c r="O92" i="9" s="1"/>
  <c r="N90" i="9"/>
  <c r="O90" i="9" s="1"/>
  <c r="N89" i="9"/>
  <c r="O89" i="9" s="1"/>
  <c r="N87" i="9"/>
  <c r="O87" i="9" s="1"/>
  <c r="N86" i="9"/>
  <c r="O86" i="9" s="1"/>
  <c r="N84" i="9"/>
  <c r="O84" i="9" s="1"/>
  <c r="N83" i="9"/>
  <c r="O83" i="9" s="1"/>
  <c r="N76" i="9"/>
  <c r="O76" i="9" s="1"/>
  <c r="N75" i="9"/>
  <c r="O75" i="9" s="1"/>
  <c r="N74" i="9"/>
  <c r="O74" i="9" s="1"/>
  <c r="N73" i="9"/>
  <c r="O73" i="9" s="1"/>
  <c r="N72" i="9"/>
  <c r="O72" i="9" s="1"/>
  <c r="N69" i="9"/>
  <c r="O69" i="9" s="1"/>
  <c r="N67" i="9"/>
  <c r="O67" i="9" s="1"/>
  <c r="N65" i="9"/>
  <c r="O65" i="9" s="1"/>
  <c r="N62" i="9"/>
  <c r="O62" i="9" s="1"/>
  <c r="N61" i="9"/>
  <c r="O61" i="9" s="1"/>
  <c r="N60" i="9"/>
  <c r="O60" i="9" s="1"/>
  <c r="N58" i="9"/>
  <c r="O58" i="9" s="1"/>
  <c r="N56" i="9"/>
  <c r="O56" i="9" s="1"/>
  <c r="N55" i="9"/>
  <c r="O55" i="9" s="1"/>
  <c r="N53" i="9"/>
  <c r="O53" i="9" s="1"/>
  <c r="N51" i="9"/>
  <c r="O51" i="9" s="1"/>
  <c r="N49" i="9"/>
  <c r="O49" i="9" s="1"/>
  <c r="N47" i="9"/>
  <c r="O47" i="9" s="1"/>
  <c r="N46" i="9"/>
  <c r="O46" i="9" s="1"/>
  <c r="N45" i="9"/>
  <c r="O45" i="9" s="1"/>
  <c r="N44" i="9"/>
  <c r="O44" i="9" s="1"/>
  <c r="N43" i="9"/>
  <c r="O43" i="9" s="1"/>
  <c r="N42" i="9"/>
  <c r="O42" i="9" s="1"/>
  <c r="N41" i="9"/>
  <c r="O41" i="9" s="1"/>
  <c r="N40" i="9"/>
  <c r="O40" i="9" s="1"/>
  <c r="N38" i="9"/>
  <c r="O38" i="9" s="1"/>
  <c r="N33" i="9"/>
  <c r="O33" i="9" s="1"/>
  <c r="N31" i="9"/>
  <c r="O31" i="9" s="1"/>
  <c r="N30" i="9"/>
  <c r="O30" i="9" s="1"/>
  <c r="N29" i="9"/>
  <c r="O29" i="9" s="1"/>
  <c r="N28" i="9"/>
  <c r="O28" i="9" s="1"/>
  <c r="N26" i="9"/>
  <c r="O26" i="9" s="1"/>
  <c r="N25" i="9"/>
  <c r="O25" i="9" s="1"/>
  <c r="N24" i="9"/>
  <c r="O24" i="9" s="1"/>
  <c r="N22" i="9"/>
  <c r="O22" i="9" s="1"/>
  <c r="N20" i="9"/>
  <c r="O20" i="9" s="1"/>
  <c r="N19" i="9"/>
  <c r="O19" i="9" s="1"/>
  <c r="N18" i="9"/>
  <c r="O18" i="9" s="1"/>
  <c r="N14" i="9"/>
  <c r="O14" i="9" s="1"/>
  <c r="N13" i="9"/>
  <c r="O13" i="9" s="1"/>
  <c r="N11" i="9"/>
  <c r="O11" i="9" s="1"/>
  <c r="N10" i="9"/>
  <c r="O10" i="9" s="1"/>
  <c r="N9" i="9"/>
  <c r="O9" i="9" s="1"/>
  <c r="N7" i="9"/>
  <c r="O7" i="9" s="1"/>
  <c r="I4" i="9"/>
  <c r="I5" i="9"/>
  <c r="I6" i="9"/>
  <c r="I7" i="9"/>
  <c r="I8" i="9"/>
  <c r="I15" i="9"/>
  <c r="I16" i="9"/>
  <c r="I17" i="9"/>
  <c r="I19" i="9"/>
  <c r="I21" i="9"/>
  <c r="I22" i="9"/>
  <c r="I23" i="9"/>
  <c r="I27" i="9"/>
  <c r="I29" i="9"/>
  <c r="I30" i="9"/>
  <c r="I32" i="9"/>
  <c r="I34" i="9"/>
  <c r="I35" i="9"/>
  <c r="I36" i="9"/>
  <c r="I37" i="9"/>
  <c r="I39" i="9"/>
  <c r="I40" i="9"/>
  <c r="I41" i="9"/>
  <c r="I45" i="9"/>
  <c r="I48" i="9"/>
  <c r="I50" i="9"/>
  <c r="I52" i="9"/>
  <c r="I53" i="9"/>
  <c r="I55" i="9"/>
  <c r="I59" i="9"/>
  <c r="I61" i="9"/>
  <c r="I63" i="9"/>
  <c r="I64" i="9"/>
  <c r="I66" i="9"/>
  <c r="I67" i="9"/>
  <c r="I68" i="9"/>
  <c r="I70" i="9"/>
  <c r="I71" i="9"/>
  <c r="I75" i="9"/>
  <c r="I77" i="9"/>
  <c r="I78" i="9"/>
  <c r="I79" i="9"/>
  <c r="I80" i="9"/>
  <c r="I81" i="9"/>
  <c r="I83" i="9"/>
  <c r="I85" i="9"/>
  <c r="I87" i="9"/>
  <c r="I88" i="9"/>
  <c r="I91" i="9"/>
  <c r="I92" i="9"/>
  <c r="I93" i="9"/>
  <c r="I98" i="9"/>
  <c r="I100" i="9"/>
  <c r="I104" i="9"/>
  <c r="I107" i="9"/>
  <c r="I110" i="9"/>
  <c r="I111" i="9"/>
  <c r="I112" i="9"/>
  <c r="I114" i="9"/>
  <c r="I116" i="9"/>
  <c r="I118" i="9"/>
  <c r="I119" i="9"/>
  <c r="I120" i="9"/>
  <c r="I121" i="9"/>
  <c r="I122" i="9"/>
  <c r="I123" i="9"/>
  <c r="I126" i="9"/>
  <c r="I127" i="9"/>
  <c r="I128" i="9"/>
  <c r="I129" i="9"/>
  <c r="I130" i="9"/>
  <c r="I135" i="9"/>
  <c r="I136" i="9"/>
  <c r="I138" i="9"/>
  <c r="I139" i="9"/>
  <c r="I140" i="9"/>
  <c r="I141" i="9"/>
  <c r="I142" i="9"/>
  <c r="I144" i="9"/>
  <c r="I145" i="9"/>
  <c r="I146" i="9"/>
  <c r="I147" i="9"/>
  <c r="I148" i="9"/>
  <c r="I149" i="9"/>
  <c r="I151" i="9"/>
  <c r="I152" i="9"/>
  <c r="I153" i="9"/>
  <c r="I155" i="9"/>
  <c r="I156" i="9"/>
  <c r="I157" i="9"/>
  <c r="I158" i="9"/>
  <c r="I160" i="9"/>
  <c r="I161" i="9"/>
  <c r="I163" i="9"/>
  <c r="I164" i="9"/>
  <c r="I165" i="9"/>
  <c r="I166" i="9"/>
  <c r="I168" i="9"/>
  <c r="I169" i="9"/>
  <c r="I171" i="9"/>
  <c r="I172" i="9"/>
  <c r="I173" i="9"/>
  <c r="I175" i="9"/>
  <c r="I176" i="9"/>
  <c r="I177" i="9"/>
  <c r="I178" i="9"/>
  <c r="I179" i="9"/>
  <c r="I180" i="9"/>
  <c r="I181" i="9"/>
  <c r="I182" i="9"/>
  <c r="I183" i="9"/>
  <c r="I184" i="9"/>
  <c r="I186" i="9"/>
  <c r="I187" i="9"/>
  <c r="I188" i="9"/>
  <c r="I189" i="9"/>
  <c r="I190" i="9"/>
  <c r="I191" i="9"/>
  <c r="I192" i="9"/>
  <c r="I193" i="9"/>
  <c r="I196" i="9"/>
  <c r="I197" i="9"/>
  <c r="I198" i="9"/>
  <c r="I199" i="9"/>
  <c r="I202" i="9"/>
  <c r="I204" i="9"/>
  <c r="I205" i="9"/>
  <c r="I208" i="9"/>
  <c r="I210" i="9"/>
  <c r="I212" i="9"/>
  <c r="I214" i="9"/>
  <c r="I215" i="9"/>
  <c r="I218" i="9"/>
  <c r="I219" i="9"/>
  <c r="I221" i="9"/>
  <c r="I225" i="9"/>
  <c r="I226" i="9"/>
  <c r="I228" i="9"/>
  <c r="I229" i="9"/>
  <c r="I231" i="9"/>
  <c r="I232" i="9"/>
  <c r="I233" i="9"/>
  <c r="I234" i="9"/>
  <c r="I235" i="9"/>
  <c r="I236" i="9"/>
  <c r="I237" i="9"/>
  <c r="I239" i="9"/>
  <c r="I240" i="9"/>
  <c r="I241" i="9"/>
  <c r="I243" i="9"/>
  <c r="I245" i="9"/>
  <c r="I247" i="9"/>
  <c r="I249" i="9"/>
  <c r="I250" i="9"/>
  <c r="I252" i="9"/>
  <c r="I253" i="9"/>
  <c r="I254" i="9"/>
  <c r="I256" i="9"/>
  <c r="I257" i="9"/>
  <c r="I260" i="9"/>
  <c r="I262" i="9"/>
  <c r="I264" i="9"/>
  <c r="I265" i="9"/>
  <c r="I266" i="9"/>
  <c r="I267" i="9"/>
  <c r="I269" i="9"/>
  <c r="I270" i="9"/>
  <c r="I271" i="9"/>
  <c r="I272" i="9"/>
  <c r="I273" i="9"/>
  <c r="I274" i="9"/>
  <c r="I275" i="9"/>
  <c r="I277" i="9"/>
  <c r="I278" i="9"/>
  <c r="I279" i="9"/>
  <c r="I280" i="9"/>
  <c r="I281" i="9"/>
  <c r="I283" i="9"/>
  <c r="I284" i="9"/>
  <c r="I286" i="9"/>
  <c r="I287" i="9"/>
  <c r="I288" i="9"/>
  <c r="I289" i="9"/>
  <c r="I291" i="9"/>
  <c r="I293" i="9"/>
  <c r="I294" i="9"/>
  <c r="I295" i="9"/>
  <c r="I296" i="9"/>
  <c r="I297" i="9"/>
  <c r="I298" i="9"/>
  <c r="I299" i="9"/>
  <c r="I301" i="9"/>
  <c r="I302" i="9"/>
  <c r="I304" i="9"/>
  <c r="I305" i="9"/>
  <c r="I306" i="9"/>
  <c r="I307" i="9"/>
  <c r="I308" i="9"/>
  <c r="I309" i="9"/>
  <c r="I310" i="9"/>
  <c r="I312" i="9"/>
  <c r="I313" i="9"/>
  <c r="I314" i="9"/>
  <c r="I316" i="9"/>
  <c r="I319" i="9"/>
  <c r="I321" i="9"/>
  <c r="I322" i="9"/>
  <c r="I323" i="9"/>
  <c r="I324" i="9"/>
  <c r="I326" i="9"/>
  <c r="I327" i="9"/>
  <c r="I329" i="9"/>
  <c r="I330" i="9"/>
  <c r="I332" i="9"/>
  <c r="I333" i="9"/>
  <c r="I334" i="9"/>
  <c r="I336" i="9"/>
  <c r="I337" i="9"/>
  <c r="I338" i="9"/>
  <c r="I339" i="9"/>
  <c r="I340" i="9"/>
  <c r="I341" i="9"/>
  <c r="I342" i="9"/>
  <c r="I343" i="9"/>
  <c r="I344" i="9"/>
  <c r="I345" i="9"/>
  <c r="I348" i="9"/>
  <c r="I350" i="9"/>
  <c r="I351" i="9"/>
  <c r="I352" i="9"/>
  <c r="I354" i="9"/>
  <c r="I356" i="9"/>
  <c r="I357" i="9"/>
  <c r="I360" i="9"/>
  <c r="I364" i="9"/>
  <c r="I368" i="9"/>
  <c r="I369" i="9"/>
  <c r="I370" i="9"/>
  <c r="I371" i="9"/>
  <c r="I372" i="9"/>
  <c r="I373" i="9"/>
  <c r="I374" i="9"/>
  <c r="I375" i="9"/>
  <c r="I376" i="9"/>
  <c r="I377" i="9"/>
  <c r="I378" i="9"/>
  <c r="I379" i="9"/>
  <c r="I380" i="9"/>
  <c r="I381" i="9"/>
  <c r="I382" i="9"/>
  <c r="I383" i="9"/>
  <c r="I384" i="9"/>
  <c r="I385" i="9"/>
  <c r="I386" i="9"/>
  <c r="I387" i="9"/>
  <c r="I388" i="9"/>
  <c r="I389" i="9"/>
  <c r="I390" i="9"/>
  <c r="I3" i="9"/>
  <c r="H367" i="9"/>
  <c r="I367" i="9" s="1"/>
  <c r="H366" i="9"/>
  <c r="I366" i="9" s="1"/>
  <c r="H365" i="9"/>
  <c r="I365" i="9" s="1"/>
  <c r="H363" i="9"/>
  <c r="I363" i="9" s="1"/>
  <c r="H362" i="9"/>
  <c r="I362" i="9" s="1"/>
  <c r="H361" i="9"/>
  <c r="I361" i="9" s="1"/>
  <c r="H359" i="9"/>
  <c r="I359" i="9" s="1"/>
  <c r="H358" i="9"/>
  <c r="I358" i="9" s="1"/>
  <c r="H355" i="9"/>
  <c r="I355" i="9" s="1"/>
  <c r="H353" i="9"/>
  <c r="I353" i="9" s="1"/>
  <c r="H349" i="9"/>
  <c r="I349" i="9" s="1"/>
  <c r="H347" i="9"/>
  <c r="I347" i="9" s="1"/>
  <c r="H346" i="9"/>
  <c r="I346" i="9" s="1"/>
  <c r="H335" i="9"/>
  <c r="I335" i="9" s="1"/>
  <c r="H331" i="9"/>
  <c r="I331" i="9" s="1"/>
  <c r="H328" i="9"/>
  <c r="I328" i="9" s="1"/>
  <c r="H325" i="9"/>
  <c r="I325" i="9" s="1"/>
  <c r="H320" i="9"/>
  <c r="I320" i="9" s="1"/>
  <c r="H318" i="9"/>
  <c r="I318" i="9" s="1"/>
  <c r="H317" i="9"/>
  <c r="I317" i="9" s="1"/>
  <c r="H315" i="9"/>
  <c r="I315" i="9" s="1"/>
  <c r="H311" i="9"/>
  <c r="I311" i="9" s="1"/>
  <c r="H303" i="9"/>
  <c r="I303" i="9" s="1"/>
  <c r="H300" i="9"/>
  <c r="I300" i="9" s="1"/>
  <c r="H292" i="9"/>
  <c r="I292" i="9" s="1"/>
  <c r="H290" i="9"/>
  <c r="I290" i="9" s="1"/>
  <c r="H285" i="9"/>
  <c r="I285" i="9" s="1"/>
  <c r="H282" i="9"/>
  <c r="I282" i="9" s="1"/>
  <c r="H276" i="9"/>
  <c r="I276" i="9" s="1"/>
  <c r="H268" i="9"/>
  <c r="I268" i="9" s="1"/>
  <c r="H263" i="9"/>
  <c r="I263" i="9" s="1"/>
  <c r="H261" i="9"/>
  <c r="I261" i="9" s="1"/>
  <c r="H259" i="9"/>
  <c r="I259" i="9" s="1"/>
  <c r="H258" i="9"/>
  <c r="I258" i="9" s="1"/>
  <c r="H255" i="9"/>
  <c r="I255" i="9" s="1"/>
  <c r="H251" i="9"/>
  <c r="I251" i="9" s="1"/>
  <c r="H248" i="9"/>
  <c r="I248" i="9" s="1"/>
  <c r="H246" i="9"/>
  <c r="I246" i="9" s="1"/>
  <c r="H244" i="9"/>
  <c r="I244" i="9" s="1"/>
  <c r="H242" i="9"/>
  <c r="I242" i="9" s="1"/>
  <c r="H238" i="9"/>
  <c r="I238" i="9" s="1"/>
  <c r="H230" i="9"/>
  <c r="I230" i="9" s="1"/>
  <c r="H227" i="9"/>
  <c r="I227" i="9" s="1"/>
  <c r="H224" i="9"/>
  <c r="I224" i="9" s="1"/>
  <c r="H223" i="9"/>
  <c r="I223" i="9" s="1"/>
  <c r="H222" i="9"/>
  <c r="I222" i="9" s="1"/>
  <c r="H220" i="9"/>
  <c r="I220" i="9" s="1"/>
  <c r="H217" i="9"/>
  <c r="I217" i="9" s="1"/>
  <c r="H216" i="9"/>
  <c r="I216" i="9" s="1"/>
  <c r="H213" i="9"/>
  <c r="I213" i="9" s="1"/>
  <c r="H211" i="9"/>
  <c r="I211" i="9" s="1"/>
  <c r="H209" i="9"/>
  <c r="I209" i="9" s="1"/>
  <c r="H207" i="9"/>
  <c r="I207" i="9" s="1"/>
  <c r="H206" i="9"/>
  <c r="I206" i="9" s="1"/>
  <c r="H203" i="9"/>
  <c r="I203" i="9" s="1"/>
  <c r="H201" i="9"/>
  <c r="I201" i="9" s="1"/>
  <c r="H200" i="9"/>
  <c r="I200" i="9" s="1"/>
  <c r="H195" i="9"/>
  <c r="I195" i="9" s="1"/>
  <c r="H194" i="9"/>
  <c r="I194" i="9" s="1"/>
  <c r="H185" i="9"/>
  <c r="I185" i="9" s="1"/>
  <c r="H174" i="9"/>
  <c r="I174" i="9" s="1"/>
  <c r="H170" i="9"/>
  <c r="I170" i="9" s="1"/>
  <c r="H167" i="9"/>
  <c r="I167" i="9" s="1"/>
  <c r="H162" i="9"/>
  <c r="I162" i="9" s="1"/>
  <c r="H159" i="9"/>
  <c r="I159" i="9" s="1"/>
  <c r="H154" i="9"/>
  <c r="I154" i="9" s="1"/>
  <c r="H150" i="9"/>
  <c r="I150" i="9" s="1"/>
  <c r="H143" i="9"/>
  <c r="I143" i="9" s="1"/>
  <c r="H137" i="9"/>
  <c r="I137" i="9" s="1"/>
  <c r="H134" i="9"/>
  <c r="I134" i="9" s="1"/>
  <c r="H133" i="9"/>
  <c r="I133" i="9" s="1"/>
  <c r="H132" i="9"/>
  <c r="I132" i="9" s="1"/>
  <c r="H131" i="9"/>
  <c r="I131" i="9" s="1"/>
  <c r="H125" i="9"/>
  <c r="I125" i="9" s="1"/>
  <c r="H124" i="9"/>
  <c r="I124" i="9" s="1"/>
  <c r="H117" i="9"/>
  <c r="I117" i="9" s="1"/>
  <c r="H115" i="9"/>
  <c r="I115" i="9" s="1"/>
  <c r="H113" i="9"/>
  <c r="I113" i="9" s="1"/>
  <c r="H109" i="9"/>
  <c r="I109" i="9" s="1"/>
  <c r="H108" i="9"/>
  <c r="I108" i="9" s="1"/>
  <c r="H106" i="9"/>
  <c r="I106" i="9" s="1"/>
  <c r="H105" i="9"/>
  <c r="I105" i="9" s="1"/>
  <c r="H103" i="9"/>
  <c r="I103" i="9" s="1"/>
  <c r="H102" i="9"/>
  <c r="I102" i="9" s="1"/>
  <c r="H101" i="9"/>
  <c r="I101" i="9" s="1"/>
  <c r="H99" i="9"/>
  <c r="I99" i="9" s="1"/>
  <c r="H97" i="9"/>
  <c r="I97" i="9" s="1"/>
  <c r="H96" i="9"/>
  <c r="I96" i="9" s="1"/>
  <c r="H95" i="9"/>
  <c r="I95" i="9" s="1"/>
  <c r="H94" i="9"/>
  <c r="I94" i="9" s="1"/>
  <c r="H90" i="9"/>
  <c r="I90" i="9" s="1"/>
  <c r="H89" i="9"/>
  <c r="I89" i="9" s="1"/>
  <c r="H86" i="9"/>
  <c r="I86" i="9" s="1"/>
  <c r="H84" i="9"/>
  <c r="I84" i="9" s="1"/>
  <c r="H82" i="9"/>
  <c r="I82" i="9" s="1"/>
  <c r="H76" i="9"/>
  <c r="I76" i="9" s="1"/>
  <c r="H74" i="9"/>
  <c r="I74" i="9" s="1"/>
  <c r="H73" i="9"/>
  <c r="I73" i="9" s="1"/>
  <c r="H72" i="9"/>
  <c r="I72" i="9" s="1"/>
  <c r="H69" i="9"/>
  <c r="I69" i="9" s="1"/>
  <c r="H65" i="9"/>
  <c r="I65" i="9" s="1"/>
  <c r="H62" i="9"/>
  <c r="I62" i="9" s="1"/>
  <c r="H60" i="9"/>
  <c r="I60" i="9" s="1"/>
  <c r="H58" i="9"/>
  <c r="I58" i="9" s="1"/>
  <c r="H57" i="9"/>
  <c r="I57" i="9" s="1"/>
  <c r="H56" i="9"/>
  <c r="I56" i="9" s="1"/>
  <c r="H54" i="9"/>
  <c r="I54" i="9" s="1"/>
  <c r="H51" i="9"/>
  <c r="I51" i="9" s="1"/>
  <c r="H49" i="9"/>
  <c r="I49" i="9" s="1"/>
  <c r="H47" i="9"/>
  <c r="I47" i="9" s="1"/>
  <c r="H46" i="9"/>
  <c r="I46" i="9" s="1"/>
  <c r="H44" i="9"/>
  <c r="I44" i="9" s="1"/>
  <c r="H43" i="9"/>
  <c r="I43" i="9" s="1"/>
  <c r="H42" i="9"/>
  <c r="I42" i="9" s="1"/>
  <c r="H38" i="9"/>
  <c r="I38" i="9" s="1"/>
  <c r="H33" i="9"/>
  <c r="I33" i="9" s="1"/>
  <c r="H31" i="9"/>
  <c r="I31" i="9" s="1"/>
  <c r="H28" i="9"/>
  <c r="I28" i="9" s="1"/>
  <c r="H26" i="9"/>
  <c r="I26" i="9" s="1"/>
  <c r="H25" i="9"/>
  <c r="I25" i="9" s="1"/>
  <c r="H24" i="9"/>
  <c r="I24" i="9" s="1"/>
  <c r="H20" i="9"/>
  <c r="I20" i="9" s="1"/>
  <c r="H18" i="9"/>
  <c r="I18" i="9" s="1"/>
  <c r="H14" i="9"/>
  <c r="I14" i="9" s="1"/>
  <c r="H13" i="9"/>
  <c r="I13" i="9" s="1"/>
  <c r="H12" i="9"/>
  <c r="I12" i="9" s="1"/>
  <c r="H11" i="9"/>
  <c r="I11" i="9" s="1"/>
  <c r="H10" i="9"/>
  <c r="I10" i="9" s="1"/>
  <c r="H9" i="9"/>
  <c r="I9" i="9" s="1"/>
  <c r="L5" i="9"/>
  <c r="L6" i="9"/>
  <c r="L7" i="9"/>
  <c r="L8" i="9"/>
  <c r="L9" i="9"/>
  <c r="L12" i="9"/>
  <c r="L15" i="9"/>
  <c r="L16" i="9"/>
  <c r="L21" i="9"/>
  <c r="L23" i="9"/>
  <c r="L27" i="9"/>
  <c r="L32" i="9"/>
  <c r="L34" i="9"/>
  <c r="L35" i="9"/>
  <c r="L36" i="9"/>
  <c r="L37" i="9"/>
  <c r="L39" i="9"/>
  <c r="L41" i="9"/>
  <c r="L45" i="9"/>
  <c r="L48" i="9"/>
  <c r="L50" i="9"/>
  <c r="L52" i="9"/>
  <c r="L53" i="9"/>
  <c r="L57" i="9"/>
  <c r="L59" i="9"/>
  <c r="L61" i="9"/>
  <c r="L63" i="9"/>
  <c r="L64" i="9"/>
  <c r="L66" i="9"/>
  <c r="L68" i="9"/>
  <c r="L71" i="9"/>
  <c r="L75" i="9"/>
  <c r="L77" i="9"/>
  <c r="L78" i="9"/>
  <c r="L79" i="9"/>
  <c r="L80" i="9"/>
  <c r="L81" i="9"/>
  <c r="L85" i="9"/>
  <c r="L86" i="9"/>
  <c r="L88" i="9"/>
  <c r="L91" i="9"/>
  <c r="L92" i="9"/>
  <c r="L93" i="9"/>
  <c r="L100" i="9"/>
  <c r="L104" i="9"/>
  <c r="L107" i="9"/>
  <c r="L110" i="9"/>
  <c r="L111" i="9"/>
  <c r="L112" i="9"/>
  <c r="L114" i="9"/>
  <c r="L116" i="9"/>
  <c r="L118" i="9"/>
  <c r="L119" i="9"/>
  <c r="L120" i="9"/>
  <c r="L122" i="9"/>
  <c r="L123" i="9"/>
  <c r="L126" i="9"/>
  <c r="L127" i="9"/>
  <c r="L128" i="9"/>
  <c r="L130" i="9"/>
  <c r="L135" i="9"/>
  <c r="L139" i="9"/>
  <c r="L141" i="9"/>
  <c r="L142" i="9"/>
  <c r="L144" i="9"/>
  <c r="L146" i="9"/>
  <c r="L147" i="9"/>
  <c r="L149" i="9"/>
  <c r="L152" i="9"/>
  <c r="L153" i="9"/>
  <c r="L157" i="9"/>
  <c r="L158" i="9"/>
  <c r="L161" i="9"/>
  <c r="L163" i="9"/>
  <c r="L164" i="9"/>
  <c r="L168" i="9"/>
  <c r="L169" i="9"/>
  <c r="L171" i="9"/>
  <c r="L172" i="9"/>
  <c r="L175" i="9"/>
  <c r="L176" i="9"/>
  <c r="L177" i="9"/>
  <c r="L178" i="9"/>
  <c r="L180" i="9"/>
  <c r="L182" i="9"/>
  <c r="L183" i="9"/>
  <c r="L184" i="9"/>
  <c r="L186" i="9"/>
  <c r="L187" i="9"/>
  <c r="L188" i="9"/>
  <c r="L189" i="9"/>
  <c r="L190" i="9"/>
  <c r="L191" i="9"/>
  <c r="L192" i="9"/>
  <c r="L193" i="9"/>
  <c r="L197" i="9"/>
  <c r="L208" i="9"/>
  <c r="L212" i="9"/>
  <c r="L215" i="9"/>
  <c r="L218" i="9"/>
  <c r="L219" i="9"/>
  <c r="L226" i="9"/>
  <c r="L229" i="9"/>
  <c r="L233" i="9"/>
  <c r="L234" i="9"/>
  <c r="L235" i="9"/>
  <c r="L236" i="9"/>
  <c r="L237" i="9"/>
  <c r="L238" i="9"/>
  <c r="L239" i="9"/>
  <c r="L240" i="9"/>
  <c r="L243" i="9"/>
  <c r="L245" i="9"/>
  <c r="L249" i="9"/>
  <c r="L250" i="9"/>
  <c r="L252" i="9"/>
  <c r="L253" i="9"/>
  <c r="L254" i="9"/>
  <c r="L256" i="9"/>
  <c r="L260" i="9"/>
  <c r="L262" i="9"/>
  <c r="L264" i="9"/>
  <c r="L265" i="9"/>
  <c r="L267" i="9"/>
  <c r="L270" i="9"/>
  <c r="L271" i="9"/>
  <c r="L273" i="9"/>
  <c r="L278" i="9"/>
  <c r="L280" i="9"/>
  <c r="L281" i="9"/>
  <c r="L283" i="9"/>
  <c r="L284" i="9"/>
  <c r="L286" i="9"/>
  <c r="L287" i="9"/>
  <c r="L289" i="9"/>
  <c r="L291" i="9"/>
  <c r="L292" i="9"/>
  <c r="L293" i="9"/>
  <c r="L294" i="9"/>
  <c r="L295" i="9"/>
  <c r="L296" i="9"/>
  <c r="L297" i="9"/>
  <c r="L299" i="9"/>
  <c r="L301" i="9"/>
  <c r="L302" i="9"/>
  <c r="L304" i="9"/>
  <c r="L307" i="9"/>
  <c r="L308" i="9"/>
  <c r="L309" i="9"/>
  <c r="L312" i="9"/>
  <c r="L313" i="9"/>
  <c r="L314" i="9"/>
  <c r="L316" i="9"/>
  <c r="L320" i="9"/>
  <c r="L321" i="9"/>
  <c r="L322" i="9"/>
  <c r="L323" i="9"/>
  <c r="L325" i="9"/>
  <c r="L326" i="9"/>
  <c r="L329" i="9"/>
  <c r="L330" i="9"/>
  <c r="L331" i="9"/>
  <c r="L333" i="9"/>
  <c r="L334" i="9"/>
  <c r="L336" i="9"/>
  <c r="L338" i="9"/>
  <c r="L340" i="9"/>
  <c r="L341" i="9"/>
  <c r="L343" i="9"/>
  <c r="L344" i="9"/>
  <c r="L345" i="9"/>
  <c r="L348" i="9"/>
  <c r="L350" i="9"/>
  <c r="L352" i="9"/>
  <c r="L353" i="9"/>
  <c r="L354" i="9"/>
  <c r="L357" i="9"/>
  <c r="L360" i="9"/>
  <c r="L365" i="9"/>
  <c r="L368" i="9"/>
  <c r="L369" i="9"/>
  <c r="L370" i="9"/>
  <c r="L371" i="9"/>
  <c r="L372" i="9"/>
  <c r="L373" i="9"/>
  <c r="L374" i="9"/>
  <c r="L375" i="9"/>
  <c r="L376" i="9"/>
  <c r="L377" i="9"/>
  <c r="L378" i="9"/>
  <c r="L379" i="9"/>
  <c r="L380" i="9"/>
  <c r="L381" i="9"/>
  <c r="L382" i="9"/>
  <c r="L383" i="9"/>
  <c r="L384" i="9"/>
  <c r="L385" i="9"/>
  <c r="L386" i="9"/>
  <c r="L387" i="9"/>
  <c r="L388" i="9"/>
  <c r="L389" i="9"/>
  <c r="L390" i="9"/>
  <c r="L4" i="9"/>
  <c r="F3" i="9"/>
  <c r="K367" i="9"/>
  <c r="L367" i="9" s="1"/>
  <c r="K366" i="9"/>
  <c r="L366" i="9" s="1"/>
  <c r="K364" i="9"/>
  <c r="L364" i="9" s="1"/>
  <c r="K363" i="9"/>
  <c r="L363" i="9" s="1"/>
  <c r="K362" i="9"/>
  <c r="L362" i="9" s="1"/>
  <c r="K361" i="9"/>
  <c r="L361" i="9" s="1"/>
  <c r="K359" i="9"/>
  <c r="L359" i="9" s="1"/>
  <c r="K358" i="9"/>
  <c r="L358" i="9" s="1"/>
  <c r="K356" i="9"/>
  <c r="L356" i="9" s="1"/>
  <c r="K355" i="9"/>
  <c r="L355" i="9" s="1"/>
  <c r="K351" i="9"/>
  <c r="L351" i="9" s="1"/>
  <c r="K349" i="9"/>
  <c r="L349" i="9" s="1"/>
  <c r="K347" i="9"/>
  <c r="L347" i="9" s="1"/>
  <c r="K346" i="9"/>
  <c r="L346" i="9" s="1"/>
  <c r="K342" i="9"/>
  <c r="L342" i="9" s="1"/>
  <c r="K339" i="9"/>
  <c r="L339" i="9" s="1"/>
  <c r="K337" i="9"/>
  <c r="L337" i="9" s="1"/>
  <c r="K335" i="9"/>
  <c r="L335" i="9" s="1"/>
  <c r="K332" i="9"/>
  <c r="L332" i="9" s="1"/>
  <c r="K328" i="9"/>
  <c r="L328" i="9" s="1"/>
  <c r="K327" i="9"/>
  <c r="L327" i="9" s="1"/>
  <c r="K324" i="9"/>
  <c r="L324" i="9" s="1"/>
  <c r="K319" i="9"/>
  <c r="L319" i="9" s="1"/>
  <c r="K318" i="9"/>
  <c r="L318" i="9" s="1"/>
  <c r="K317" i="9"/>
  <c r="L317" i="9" s="1"/>
  <c r="K315" i="9"/>
  <c r="L315" i="9" s="1"/>
  <c r="K311" i="9"/>
  <c r="L311" i="9" s="1"/>
  <c r="K310" i="9"/>
  <c r="L310" i="9" s="1"/>
  <c r="K306" i="9"/>
  <c r="L306" i="9" s="1"/>
  <c r="K305" i="9"/>
  <c r="L305" i="9" s="1"/>
  <c r="K303" i="9"/>
  <c r="L303" i="9" s="1"/>
  <c r="K300" i="9"/>
  <c r="L300" i="9" s="1"/>
  <c r="K298" i="9"/>
  <c r="L298" i="9" s="1"/>
  <c r="K290" i="9"/>
  <c r="L290" i="9" s="1"/>
  <c r="K288" i="9"/>
  <c r="L288" i="9" s="1"/>
  <c r="K285" i="9"/>
  <c r="L285" i="9" s="1"/>
  <c r="K282" i="9"/>
  <c r="L282" i="9" s="1"/>
  <c r="K279" i="9"/>
  <c r="L279" i="9" s="1"/>
  <c r="K277" i="9"/>
  <c r="L277" i="9" s="1"/>
  <c r="K276" i="9"/>
  <c r="L276" i="9" s="1"/>
  <c r="K275" i="9"/>
  <c r="L275" i="9" s="1"/>
  <c r="K274" i="9"/>
  <c r="L274" i="9" s="1"/>
  <c r="K272" i="9"/>
  <c r="L272" i="9" s="1"/>
  <c r="K269" i="9"/>
  <c r="L269" i="9" s="1"/>
  <c r="K268" i="9"/>
  <c r="L268" i="9" s="1"/>
  <c r="K266" i="9"/>
  <c r="L266" i="9" s="1"/>
  <c r="K263" i="9"/>
  <c r="L263" i="9" s="1"/>
  <c r="K261" i="9"/>
  <c r="L261" i="9" s="1"/>
  <c r="K259" i="9"/>
  <c r="L259" i="9" s="1"/>
  <c r="K258" i="9"/>
  <c r="L258" i="9" s="1"/>
  <c r="K257" i="9"/>
  <c r="L257" i="9" s="1"/>
  <c r="K255" i="9"/>
  <c r="L255" i="9" s="1"/>
  <c r="K251" i="9"/>
  <c r="L251" i="9" s="1"/>
  <c r="K248" i="9"/>
  <c r="L248" i="9" s="1"/>
  <c r="K247" i="9"/>
  <c r="L247" i="9" s="1"/>
  <c r="K246" i="9"/>
  <c r="L246" i="9" s="1"/>
  <c r="K244" i="9"/>
  <c r="L244" i="9" s="1"/>
  <c r="K242" i="9"/>
  <c r="L242" i="9" s="1"/>
  <c r="K241" i="9"/>
  <c r="L241" i="9" s="1"/>
  <c r="K232" i="9"/>
  <c r="L232" i="9" s="1"/>
  <c r="K231" i="9"/>
  <c r="L231" i="9" s="1"/>
  <c r="K230" i="9"/>
  <c r="L230" i="9" s="1"/>
  <c r="K228" i="9"/>
  <c r="L228" i="9" s="1"/>
  <c r="K227" i="9"/>
  <c r="L227" i="9" s="1"/>
  <c r="K225" i="9"/>
  <c r="L225" i="9" s="1"/>
  <c r="K224" i="9"/>
  <c r="L224" i="9" s="1"/>
  <c r="K223" i="9"/>
  <c r="L223" i="9" s="1"/>
  <c r="K222" i="9"/>
  <c r="L222" i="9" s="1"/>
  <c r="K221" i="9"/>
  <c r="L221" i="9" s="1"/>
  <c r="K220" i="9"/>
  <c r="L220" i="9" s="1"/>
  <c r="K217" i="9"/>
  <c r="L217" i="9" s="1"/>
  <c r="K216" i="9"/>
  <c r="L216" i="9" s="1"/>
  <c r="K214" i="9"/>
  <c r="L214" i="9" s="1"/>
  <c r="K213" i="9"/>
  <c r="L213" i="9" s="1"/>
  <c r="K211" i="9"/>
  <c r="L211" i="9" s="1"/>
  <c r="K210" i="9"/>
  <c r="L210" i="9" s="1"/>
  <c r="K209" i="9"/>
  <c r="L209" i="9" s="1"/>
  <c r="K207" i="9"/>
  <c r="L207" i="9" s="1"/>
  <c r="K206" i="9"/>
  <c r="L206" i="9" s="1"/>
  <c r="K205" i="9"/>
  <c r="L205" i="9" s="1"/>
  <c r="K204" i="9"/>
  <c r="L204" i="9" s="1"/>
  <c r="K203" i="9"/>
  <c r="L203" i="9" s="1"/>
  <c r="K202" i="9"/>
  <c r="L202" i="9" s="1"/>
  <c r="K201" i="9"/>
  <c r="L201" i="9" s="1"/>
  <c r="K200" i="9"/>
  <c r="L200" i="9" s="1"/>
  <c r="K199" i="9"/>
  <c r="L199" i="9" s="1"/>
  <c r="K198" i="9"/>
  <c r="L198" i="9" s="1"/>
  <c r="K196" i="9"/>
  <c r="L196" i="9" s="1"/>
  <c r="K195" i="9"/>
  <c r="L195" i="9" s="1"/>
  <c r="K194" i="9"/>
  <c r="L194" i="9" s="1"/>
  <c r="K185" i="9"/>
  <c r="L185" i="9" s="1"/>
  <c r="K181" i="9"/>
  <c r="L181" i="9" s="1"/>
  <c r="K179" i="9"/>
  <c r="L179" i="9" s="1"/>
  <c r="K174" i="9"/>
  <c r="L174" i="9" s="1"/>
  <c r="K173" i="9"/>
  <c r="L173" i="9" s="1"/>
  <c r="K170" i="9"/>
  <c r="L170" i="9" s="1"/>
  <c r="K167" i="9"/>
  <c r="L167" i="9" s="1"/>
  <c r="K166" i="9"/>
  <c r="L166" i="9" s="1"/>
  <c r="K165" i="9"/>
  <c r="L165" i="9" s="1"/>
  <c r="K162" i="9"/>
  <c r="L162" i="9" s="1"/>
  <c r="K160" i="9"/>
  <c r="L160" i="9" s="1"/>
  <c r="K159" i="9"/>
  <c r="L159" i="9" s="1"/>
  <c r="K156" i="9"/>
  <c r="L156" i="9" s="1"/>
  <c r="K155" i="9"/>
  <c r="L155" i="9" s="1"/>
  <c r="K154" i="9"/>
  <c r="L154" i="9" s="1"/>
  <c r="K151" i="9"/>
  <c r="L151" i="9" s="1"/>
  <c r="K150" i="9"/>
  <c r="L150" i="9" s="1"/>
  <c r="K148" i="9"/>
  <c r="L148" i="9" s="1"/>
  <c r="K145" i="9"/>
  <c r="L145" i="9" s="1"/>
  <c r="K143" i="9"/>
  <c r="L143" i="9" s="1"/>
  <c r="K140" i="9"/>
  <c r="L140" i="9" s="1"/>
  <c r="K138" i="9"/>
  <c r="L138" i="9" s="1"/>
  <c r="K137" i="9"/>
  <c r="L137" i="9" s="1"/>
  <c r="K136" i="9"/>
  <c r="L136" i="9" s="1"/>
  <c r="K134" i="9"/>
  <c r="L134" i="9" s="1"/>
  <c r="K133" i="9"/>
  <c r="L133" i="9" s="1"/>
  <c r="K132" i="9"/>
  <c r="L132" i="9" s="1"/>
  <c r="K131" i="9"/>
  <c r="L131" i="9" s="1"/>
  <c r="K129" i="9"/>
  <c r="L129" i="9" s="1"/>
  <c r="K125" i="9"/>
  <c r="L125" i="9" s="1"/>
  <c r="K124" i="9"/>
  <c r="L124" i="9" s="1"/>
  <c r="K121" i="9"/>
  <c r="L121" i="9" s="1"/>
  <c r="K117" i="9"/>
  <c r="L117" i="9" s="1"/>
  <c r="K115" i="9"/>
  <c r="L115" i="9" s="1"/>
  <c r="K113" i="9"/>
  <c r="L113" i="9" s="1"/>
  <c r="K109" i="9"/>
  <c r="L109" i="9" s="1"/>
  <c r="K108" i="9"/>
  <c r="L108" i="9" s="1"/>
  <c r="K106" i="9"/>
  <c r="L106" i="9" s="1"/>
  <c r="K105" i="9"/>
  <c r="L105" i="9" s="1"/>
  <c r="K103" i="9"/>
  <c r="L103" i="9" s="1"/>
  <c r="K102" i="9"/>
  <c r="L102" i="9" s="1"/>
  <c r="K101" i="9"/>
  <c r="L101" i="9" s="1"/>
  <c r="K99" i="9"/>
  <c r="L99" i="9" s="1"/>
  <c r="K98" i="9"/>
  <c r="L98" i="9" s="1"/>
  <c r="K97" i="9"/>
  <c r="L97" i="9" s="1"/>
  <c r="K96" i="9"/>
  <c r="L96" i="9" s="1"/>
  <c r="K95" i="9"/>
  <c r="L95" i="9" s="1"/>
  <c r="K94" i="9"/>
  <c r="L94" i="9" s="1"/>
  <c r="K90" i="9"/>
  <c r="L90" i="9" s="1"/>
  <c r="K89" i="9"/>
  <c r="L89" i="9" s="1"/>
  <c r="K87" i="9"/>
  <c r="L87" i="9" s="1"/>
  <c r="K84" i="9"/>
  <c r="L84" i="9" s="1"/>
  <c r="K83" i="9"/>
  <c r="L83" i="9" s="1"/>
  <c r="K82" i="9"/>
  <c r="L82" i="9" s="1"/>
  <c r="K76" i="9"/>
  <c r="L76" i="9" s="1"/>
  <c r="K74" i="9"/>
  <c r="L74" i="9" s="1"/>
  <c r="K73" i="9"/>
  <c r="L73" i="9" s="1"/>
  <c r="K72" i="9"/>
  <c r="L72" i="9" s="1"/>
  <c r="K70" i="9"/>
  <c r="L70" i="9" s="1"/>
  <c r="K69" i="9"/>
  <c r="L69" i="9" s="1"/>
  <c r="K67" i="9"/>
  <c r="L67" i="9" s="1"/>
  <c r="K65" i="9"/>
  <c r="L65" i="9" s="1"/>
  <c r="K62" i="9"/>
  <c r="L62" i="9" s="1"/>
  <c r="K60" i="9"/>
  <c r="L60" i="9" s="1"/>
  <c r="K58" i="9"/>
  <c r="L58" i="9" s="1"/>
  <c r="K56" i="9"/>
  <c r="L56" i="9" s="1"/>
  <c r="K55" i="9"/>
  <c r="L55" i="9" s="1"/>
  <c r="K54" i="9"/>
  <c r="L54" i="9" s="1"/>
  <c r="K51" i="9"/>
  <c r="L51" i="9" s="1"/>
  <c r="K49" i="9"/>
  <c r="L49" i="9" s="1"/>
  <c r="K47" i="9"/>
  <c r="L47" i="9" s="1"/>
  <c r="K46" i="9"/>
  <c r="L46" i="9" s="1"/>
  <c r="K44" i="9"/>
  <c r="L44" i="9" s="1"/>
  <c r="K43" i="9"/>
  <c r="L43" i="9" s="1"/>
  <c r="K42" i="9"/>
  <c r="L42" i="9" s="1"/>
  <c r="K40" i="9"/>
  <c r="L40" i="9" s="1"/>
  <c r="K38" i="9"/>
  <c r="L38" i="9" s="1"/>
  <c r="K33" i="9"/>
  <c r="L33" i="9" s="1"/>
  <c r="K31" i="9"/>
  <c r="L31" i="9" s="1"/>
  <c r="K30" i="9"/>
  <c r="L30" i="9" s="1"/>
  <c r="K29" i="9"/>
  <c r="L29" i="9" s="1"/>
  <c r="K28" i="9"/>
  <c r="L28" i="9" s="1"/>
  <c r="K26" i="9"/>
  <c r="L26" i="9" s="1"/>
  <c r="K25" i="9"/>
  <c r="L25" i="9" s="1"/>
  <c r="K24" i="9"/>
  <c r="L24" i="9" s="1"/>
  <c r="K22" i="9"/>
  <c r="L22" i="9" s="1"/>
  <c r="K20" i="9"/>
  <c r="L20" i="9" s="1"/>
  <c r="K19" i="9"/>
  <c r="L19" i="9" s="1"/>
  <c r="K18" i="9"/>
  <c r="L18" i="9" s="1"/>
  <c r="K17" i="9"/>
  <c r="L17" i="9" s="1"/>
  <c r="K14" i="9"/>
  <c r="L14" i="9" s="1"/>
  <c r="K13" i="9"/>
  <c r="L13" i="9" s="1"/>
  <c r="K11" i="9"/>
  <c r="L11" i="9" s="1"/>
  <c r="K10" i="9"/>
  <c r="L10" i="9" s="1"/>
  <c r="I392" i="9" l="1"/>
  <c r="O391" i="9"/>
  <c r="L392" i="9"/>
  <c r="L391" i="9"/>
  <c r="I391" i="9"/>
  <c r="O392" i="9"/>
  <c r="F4" i="9" l="1"/>
  <c r="F5" i="9"/>
  <c r="F6" i="9"/>
  <c r="F7" i="9"/>
  <c r="F8" i="9"/>
  <c r="F11" i="9"/>
  <c r="F12" i="9"/>
  <c r="F15" i="9"/>
  <c r="F16" i="9"/>
  <c r="F19" i="9"/>
  <c r="F21" i="9"/>
  <c r="F22" i="9"/>
  <c r="F23" i="9"/>
  <c r="F27" i="9"/>
  <c r="F29" i="9"/>
  <c r="F32" i="9"/>
  <c r="F34" i="9"/>
  <c r="F35" i="9"/>
  <c r="F36" i="9"/>
  <c r="F37" i="9"/>
  <c r="F39" i="9"/>
  <c r="F45" i="9"/>
  <c r="F48" i="9"/>
  <c r="F49" i="9"/>
  <c r="F50" i="9"/>
  <c r="F52" i="9"/>
  <c r="F53" i="9"/>
  <c r="F57" i="9"/>
  <c r="F59" i="9"/>
  <c r="F61" i="9"/>
  <c r="F62" i="9"/>
  <c r="F63" i="9"/>
  <c r="F64" i="9"/>
  <c r="F66" i="9"/>
  <c r="F68" i="9"/>
  <c r="F69" i="9"/>
  <c r="F70" i="9"/>
  <c r="F71" i="9"/>
  <c r="F75" i="9"/>
  <c r="F77" i="9"/>
  <c r="F78" i="9"/>
  <c r="F79" i="9"/>
  <c r="F80" i="9"/>
  <c r="F81" i="9"/>
  <c r="F85" i="9"/>
  <c r="F88" i="9"/>
  <c r="F90" i="9"/>
  <c r="F91" i="9"/>
  <c r="F93" i="9"/>
  <c r="F98" i="9"/>
  <c r="F100" i="9"/>
  <c r="F104" i="9"/>
  <c r="F110" i="9"/>
  <c r="F111" i="9"/>
  <c r="F112" i="9"/>
  <c r="F114" i="9"/>
  <c r="F116" i="9"/>
  <c r="F118" i="9"/>
  <c r="F119" i="9"/>
  <c r="F122" i="9"/>
  <c r="F123" i="9"/>
  <c r="F126" i="9"/>
  <c r="F127" i="9"/>
  <c r="F128" i="9"/>
  <c r="F139" i="9"/>
  <c r="F141" i="9"/>
  <c r="F144" i="9"/>
  <c r="F145" i="9"/>
  <c r="F146" i="9"/>
  <c r="F147" i="9"/>
  <c r="F149" i="9"/>
  <c r="F153" i="9"/>
  <c r="F155" i="9"/>
  <c r="F156" i="9"/>
  <c r="F160" i="9"/>
  <c r="F161" i="9"/>
  <c r="F163" i="9"/>
  <c r="F164" i="9"/>
  <c r="F168" i="9"/>
  <c r="F169" i="9"/>
  <c r="F171" i="9"/>
  <c r="F172" i="9"/>
  <c r="F173" i="9"/>
  <c r="F175" i="9"/>
  <c r="F176" i="9"/>
  <c r="F177" i="9"/>
  <c r="F179" i="9"/>
  <c r="F180" i="9"/>
  <c r="F182" i="9"/>
  <c r="F183" i="9"/>
  <c r="F184" i="9"/>
  <c r="F186" i="9"/>
  <c r="F187" i="9"/>
  <c r="F188" i="9"/>
  <c r="F189" i="9"/>
  <c r="F190" i="9"/>
  <c r="F191" i="9"/>
  <c r="F192" i="9"/>
  <c r="F193" i="9"/>
  <c r="F197" i="9"/>
  <c r="F205" i="9"/>
  <c r="F208" i="9"/>
  <c r="F212" i="9"/>
  <c r="F214" i="9"/>
  <c r="F215" i="9"/>
  <c r="F218" i="9"/>
  <c r="F221" i="9"/>
  <c r="F224" i="9"/>
  <c r="F226" i="9"/>
  <c r="F229" i="9"/>
  <c r="F232" i="9"/>
  <c r="F233" i="9"/>
  <c r="F234" i="9"/>
  <c r="F235" i="9"/>
  <c r="F236" i="9"/>
  <c r="F237" i="9"/>
  <c r="F239" i="9"/>
  <c r="F240" i="9"/>
  <c r="F241" i="9"/>
  <c r="F243" i="9"/>
  <c r="F245" i="9"/>
  <c r="F246" i="9"/>
  <c r="F247" i="9"/>
  <c r="F249" i="9"/>
  <c r="F250" i="9"/>
  <c r="F252" i="9"/>
  <c r="F253" i="9"/>
  <c r="F254" i="9"/>
  <c r="F257" i="9"/>
  <c r="F262" i="9"/>
  <c r="F264" i="9"/>
  <c r="F265" i="9"/>
  <c r="F267" i="9"/>
  <c r="F270" i="9"/>
  <c r="F272" i="9"/>
  <c r="F274" i="9"/>
  <c r="F278" i="9"/>
  <c r="F280" i="9"/>
  <c r="F281" i="9"/>
  <c r="F283" i="9"/>
  <c r="F284" i="9"/>
  <c r="F286" i="9"/>
  <c r="F287" i="9"/>
  <c r="F288" i="9"/>
  <c r="F289" i="9"/>
  <c r="F291" i="9"/>
  <c r="F292" i="9"/>
  <c r="F294" i="9"/>
  <c r="F295" i="9"/>
  <c r="F296" i="9"/>
  <c r="F297" i="9"/>
  <c r="F299" i="9"/>
  <c r="F301" i="9"/>
  <c r="F302" i="9"/>
  <c r="F304" i="9"/>
  <c r="F307" i="9"/>
  <c r="F312" i="9"/>
  <c r="F313" i="9"/>
  <c r="F316" i="9"/>
  <c r="F319" i="9"/>
  <c r="F321" i="9"/>
  <c r="F322" i="9"/>
  <c r="F323" i="9"/>
  <c r="F326" i="9"/>
  <c r="F327" i="9"/>
  <c r="F329" i="9"/>
  <c r="F330" i="9"/>
  <c r="F333" i="9"/>
  <c r="F334" i="9"/>
  <c r="F336" i="9"/>
  <c r="F337" i="9"/>
  <c r="F339" i="9"/>
  <c r="F340" i="9"/>
  <c r="F342" i="9"/>
  <c r="F343" i="9"/>
  <c r="F344" i="9"/>
  <c r="F345" i="9"/>
  <c r="F346" i="9"/>
  <c r="F348" i="9"/>
  <c r="F351" i="9"/>
  <c r="F352" i="9"/>
  <c r="F354" i="9"/>
  <c r="F356" i="9"/>
  <c r="F357" i="9"/>
  <c r="F358" i="9"/>
  <c r="F360" i="9"/>
  <c r="F361" i="9"/>
  <c r="F364" i="9"/>
  <c r="F365" i="9"/>
  <c r="F366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E367" i="9"/>
  <c r="F367" i="9" s="1"/>
  <c r="E366" i="9"/>
  <c r="E363" i="9"/>
  <c r="F363" i="9" s="1"/>
  <c r="E362" i="9"/>
  <c r="F362" i="9" s="1"/>
  <c r="E359" i="9"/>
  <c r="F359" i="9" s="1"/>
  <c r="E355" i="9"/>
  <c r="F355" i="9" s="1"/>
  <c r="E353" i="9"/>
  <c r="F353" i="9" s="1"/>
  <c r="E350" i="9"/>
  <c r="F350" i="9" s="1"/>
  <c r="E349" i="9"/>
  <c r="F349" i="9" s="1"/>
  <c r="E347" i="9"/>
  <c r="F347" i="9" s="1"/>
  <c r="E342" i="9"/>
  <c r="E341" i="9"/>
  <c r="F341" i="9" s="1"/>
  <c r="E338" i="9"/>
  <c r="F338" i="9" s="1"/>
  <c r="E335" i="9"/>
  <c r="F335" i="9" s="1"/>
  <c r="E332" i="9"/>
  <c r="F332" i="9" s="1"/>
  <c r="E331" i="9"/>
  <c r="F331" i="9" s="1"/>
  <c r="E328" i="9"/>
  <c r="F328" i="9" s="1"/>
  <c r="E325" i="9"/>
  <c r="F325" i="9" s="1"/>
  <c r="E324" i="9"/>
  <c r="F324" i="9" s="1"/>
  <c r="E320" i="9"/>
  <c r="F320" i="9" s="1"/>
  <c r="E318" i="9"/>
  <c r="F318" i="9" s="1"/>
  <c r="E317" i="9"/>
  <c r="F317" i="9" s="1"/>
  <c r="E315" i="9"/>
  <c r="F315" i="9" s="1"/>
  <c r="E314" i="9"/>
  <c r="F314" i="9" s="1"/>
  <c r="E311" i="9"/>
  <c r="F311" i="9" s="1"/>
  <c r="E310" i="9"/>
  <c r="F310" i="9" s="1"/>
  <c r="E309" i="9"/>
  <c r="F309" i="9" s="1"/>
  <c r="E308" i="9"/>
  <c r="F308" i="9" s="1"/>
  <c r="E306" i="9"/>
  <c r="F306" i="9" s="1"/>
  <c r="E305" i="9"/>
  <c r="F305" i="9" s="1"/>
  <c r="E303" i="9"/>
  <c r="F303" i="9" s="1"/>
  <c r="E300" i="9"/>
  <c r="F300" i="9" s="1"/>
  <c r="E298" i="9"/>
  <c r="F298" i="9" s="1"/>
  <c r="E293" i="9"/>
  <c r="F293" i="9" s="1"/>
  <c r="E290" i="9"/>
  <c r="F290" i="9" s="1"/>
  <c r="E285" i="9"/>
  <c r="F285" i="9" s="1"/>
  <c r="E282" i="9"/>
  <c r="F282" i="9" s="1"/>
  <c r="E279" i="9"/>
  <c r="F279" i="9" s="1"/>
  <c r="E277" i="9"/>
  <c r="F277" i="9" s="1"/>
  <c r="E276" i="9"/>
  <c r="F276" i="9" s="1"/>
  <c r="E275" i="9"/>
  <c r="F275" i="9" s="1"/>
  <c r="E273" i="9"/>
  <c r="F273" i="9" s="1"/>
  <c r="E271" i="9"/>
  <c r="F271" i="9" s="1"/>
  <c r="E269" i="9"/>
  <c r="F269" i="9" s="1"/>
  <c r="E268" i="9"/>
  <c r="F268" i="9" s="1"/>
  <c r="E266" i="9"/>
  <c r="F266" i="9" s="1"/>
  <c r="E263" i="9"/>
  <c r="F263" i="9" s="1"/>
  <c r="E261" i="9"/>
  <c r="F261" i="9" s="1"/>
  <c r="E260" i="9"/>
  <c r="F260" i="9" s="1"/>
  <c r="E259" i="9"/>
  <c r="F259" i="9" s="1"/>
  <c r="E258" i="9"/>
  <c r="F258" i="9" s="1"/>
  <c r="E256" i="9"/>
  <c r="F256" i="9" s="1"/>
  <c r="E255" i="9"/>
  <c r="F255" i="9" s="1"/>
  <c r="E251" i="9"/>
  <c r="F251" i="9" s="1"/>
  <c r="E248" i="9"/>
  <c r="F248" i="9" s="1"/>
  <c r="E244" i="9"/>
  <c r="F244" i="9" s="1"/>
  <c r="E242" i="9"/>
  <c r="F242" i="9" s="1"/>
  <c r="E238" i="9"/>
  <c r="F238" i="9" s="1"/>
  <c r="E231" i="9"/>
  <c r="F231" i="9" s="1"/>
  <c r="E230" i="9"/>
  <c r="F230" i="9" s="1"/>
  <c r="E228" i="9"/>
  <c r="F228" i="9" s="1"/>
  <c r="E227" i="9"/>
  <c r="F227" i="9" s="1"/>
  <c r="E225" i="9"/>
  <c r="F225" i="9" s="1"/>
  <c r="E223" i="9"/>
  <c r="F223" i="9" s="1"/>
  <c r="E222" i="9"/>
  <c r="F222" i="9" s="1"/>
  <c r="E220" i="9"/>
  <c r="F220" i="9" s="1"/>
  <c r="E219" i="9"/>
  <c r="F219" i="9" s="1"/>
  <c r="E217" i="9"/>
  <c r="F217" i="9" s="1"/>
  <c r="E216" i="9"/>
  <c r="F216" i="9" s="1"/>
  <c r="E213" i="9"/>
  <c r="F213" i="9" s="1"/>
  <c r="E211" i="9"/>
  <c r="F211" i="9" s="1"/>
  <c r="E210" i="9"/>
  <c r="F210" i="9" s="1"/>
  <c r="E209" i="9"/>
  <c r="F209" i="9" s="1"/>
  <c r="E207" i="9"/>
  <c r="F207" i="9" s="1"/>
  <c r="E206" i="9"/>
  <c r="F206" i="9" s="1"/>
  <c r="E204" i="9"/>
  <c r="F204" i="9" s="1"/>
  <c r="E203" i="9"/>
  <c r="F203" i="9" s="1"/>
  <c r="E202" i="9"/>
  <c r="F202" i="9" s="1"/>
  <c r="E201" i="9"/>
  <c r="F201" i="9" s="1"/>
  <c r="E200" i="9"/>
  <c r="F200" i="9" s="1"/>
  <c r="E199" i="9"/>
  <c r="F199" i="9" s="1"/>
  <c r="E198" i="9"/>
  <c r="F198" i="9" s="1"/>
  <c r="E196" i="9"/>
  <c r="F196" i="9" s="1"/>
  <c r="E195" i="9"/>
  <c r="F195" i="9" s="1"/>
  <c r="E194" i="9"/>
  <c r="F194" i="9" s="1"/>
  <c r="E185" i="9"/>
  <c r="F185" i="9" s="1"/>
  <c r="E181" i="9"/>
  <c r="F181" i="9" s="1"/>
  <c r="E178" i="9"/>
  <c r="F178" i="9" s="1"/>
  <c r="E174" i="9"/>
  <c r="F174" i="9" s="1"/>
  <c r="E173" i="9"/>
  <c r="E170" i="9"/>
  <c r="F170" i="9" s="1"/>
  <c r="E167" i="9"/>
  <c r="F167" i="9" s="1"/>
  <c r="E166" i="9"/>
  <c r="F166" i="9" s="1"/>
  <c r="E165" i="9"/>
  <c r="F165" i="9" s="1"/>
  <c r="E162" i="9"/>
  <c r="F162" i="9" s="1"/>
  <c r="E159" i="9"/>
  <c r="F159" i="9" s="1"/>
  <c r="E158" i="9"/>
  <c r="F158" i="9" s="1"/>
  <c r="E157" i="9"/>
  <c r="F157" i="9" s="1"/>
  <c r="E154" i="9"/>
  <c r="F154" i="9" s="1"/>
  <c r="E152" i="9"/>
  <c r="F152" i="9" s="1"/>
  <c r="E151" i="9"/>
  <c r="F151" i="9" s="1"/>
  <c r="E150" i="9"/>
  <c r="F150" i="9" s="1"/>
  <c r="E148" i="9"/>
  <c r="F148" i="9" s="1"/>
  <c r="E143" i="9"/>
  <c r="F143" i="9" s="1"/>
  <c r="E142" i="9"/>
  <c r="F142" i="9" s="1"/>
  <c r="E140" i="9"/>
  <c r="F140" i="9" s="1"/>
  <c r="E138" i="9"/>
  <c r="F138" i="9" s="1"/>
  <c r="E137" i="9"/>
  <c r="F137" i="9" s="1"/>
  <c r="E136" i="9"/>
  <c r="F136" i="9" s="1"/>
  <c r="E135" i="9"/>
  <c r="F135" i="9" s="1"/>
  <c r="E134" i="9"/>
  <c r="F134" i="9" s="1"/>
  <c r="E133" i="9"/>
  <c r="F133" i="9" s="1"/>
  <c r="E132" i="9"/>
  <c r="F132" i="9" s="1"/>
  <c r="E131" i="9"/>
  <c r="F131" i="9" s="1"/>
  <c r="E130" i="9"/>
  <c r="F130" i="9" s="1"/>
  <c r="E129" i="9"/>
  <c r="F129" i="9" s="1"/>
  <c r="E125" i="9"/>
  <c r="F125" i="9" s="1"/>
  <c r="E124" i="9"/>
  <c r="F124" i="9" s="1"/>
  <c r="E121" i="9"/>
  <c r="F121" i="9" s="1"/>
  <c r="E120" i="9"/>
  <c r="F120" i="9" s="1"/>
  <c r="E117" i="9"/>
  <c r="F117" i="9" s="1"/>
  <c r="E115" i="9"/>
  <c r="F115" i="9" s="1"/>
  <c r="E113" i="9"/>
  <c r="F113" i="9" s="1"/>
  <c r="E109" i="9"/>
  <c r="F109" i="9" s="1"/>
  <c r="E108" i="9"/>
  <c r="F108" i="9" s="1"/>
  <c r="E107" i="9"/>
  <c r="F107" i="9" s="1"/>
  <c r="E106" i="9"/>
  <c r="F106" i="9" s="1"/>
  <c r="E105" i="9"/>
  <c r="F105" i="9" s="1"/>
  <c r="E103" i="9"/>
  <c r="F103" i="9" s="1"/>
  <c r="E102" i="9"/>
  <c r="F102" i="9" s="1"/>
  <c r="E101" i="9"/>
  <c r="F101" i="9" s="1"/>
  <c r="E99" i="9"/>
  <c r="F99" i="9" s="1"/>
  <c r="E97" i="9"/>
  <c r="F97" i="9" s="1"/>
  <c r="E96" i="9"/>
  <c r="F96" i="9" s="1"/>
  <c r="E95" i="9"/>
  <c r="F95" i="9" s="1"/>
  <c r="E94" i="9"/>
  <c r="F94" i="9" s="1"/>
  <c r="E92" i="9"/>
  <c r="F92" i="9" s="1"/>
  <c r="E90" i="9"/>
  <c r="E89" i="9"/>
  <c r="F89" i="9" s="1"/>
  <c r="E87" i="9"/>
  <c r="F87" i="9" s="1"/>
  <c r="E86" i="9"/>
  <c r="F86" i="9" s="1"/>
  <c r="E84" i="9"/>
  <c r="F84" i="9" s="1"/>
  <c r="E83" i="9"/>
  <c r="F83" i="9" s="1"/>
  <c r="E82" i="9"/>
  <c r="F82" i="9" s="1"/>
  <c r="E76" i="9"/>
  <c r="F76" i="9" s="1"/>
  <c r="E74" i="9"/>
  <c r="F74" i="9" s="1"/>
  <c r="E73" i="9"/>
  <c r="F73" i="9" s="1"/>
  <c r="E72" i="9"/>
  <c r="F72" i="9" s="1"/>
  <c r="E67" i="9"/>
  <c r="F67" i="9" s="1"/>
  <c r="E65" i="9"/>
  <c r="F65" i="9" s="1"/>
  <c r="E62" i="9"/>
  <c r="E60" i="9"/>
  <c r="F60" i="9" s="1"/>
  <c r="E58" i="9"/>
  <c r="F58" i="9" s="1"/>
  <c r="E56" i="9"/>
  <c r="F56" i="9" s="1"/>
  <c r="E55" i="9"/>
  <c r="F55" i="9" s="1"/>
  <c r="E54" i="9"/>
  <c r="F54" i="9" s="1"/>
  <c r="E51" i="9"/>
  <c r="F51" i="9" s="1"/>
  <c r="E49" i="9"/>
  <c r="E47" i="9"/>
  <c r="F47" i="9" s="1"/>
  <c r="E46" i="9"/>
  <c r="F46" i="9" s="1"/>
  <c r="E44" i="9"/>
  <c r="F44" i="9" s="1"/>
  <c r="E43" i="9"/>
  <c r="F43" i="9" s="1"/>
  <c r="E42" i="9"/>
  <c r="F42" i="9" s="1"/>
  <c r="E41" i="9"/>
  <c r="F41" i="9" s="1"/>
  <c r="E40" i="9"/>
  <c r="F40" i="9" s="1"/>
  <c r="E38" i="9"/>
  <c r="F38" i="9" s="1"/>
  <c r="E33" i="9"/>
  <c r="F33" i="9" s="1"/>
  <c r="E31" i="9"/>
  <c r="F31" i="9" s="1"/>
  <c r="E30" i="9"/>
  <c r="F30" i="9" s="1"/>
  <c r="E28" i="9"/>
  <c r="F28" i="9" s="1"/>
  <c r="E26" i="9"/>
  <c r="F26" i="9" s="1"/>
  <c r="E25" i="9"/>
  <c r="F25" i="9" s="1"/>
  <c r="E24" i="9"/>
  <c r="F24" i="9" s="1"/>
  <c r="E20" i="9"/>
  <c r="F20" i="9" s="1"/>
  <c r="E18" i="9"/>
  <c r="F18" i="9" s="1"/>
  <c r="E17" i="9"/>
  <c r="F17" i="9" s="1"/>
  <c r="E14" i="9"/>
  <c r="F14" i="9" s="1"/>
  <c r="E13" i="9"/>
  <c r="F13" i="9" s="1"/>
  <c r="E10" i="9"/>
  <c r="F10" i="9" s="1"/>
  <c r="E9" i="9"/>
  <c r="F9" i="9" s="1"/>
  <c r="C5" i="9"/>
  <c r="C6" i="9"/>
  <c r="C7" i="9"/>
  <c r="C8" i="9"/>
  <c r="C12" i="9"/>
  <c r="C15" i="9"/>
  <c r="C16" i="9"/>
  <c r="C17" i="9"/>
  <c r="C21" i="9"/>
  <c r="C22" i="9"/>
  <c r="C23" i="9"/>
  <c r="C26" i="9"/>
  <c r="C27" i="9"/>
  <c r="C30" i="9"/>
  <c r="C32" i="9"/>
  <c r="C33" i="9"/>
  <c r="C34" i="9"/>
  <c r="C35" i="9"/>
  <c r="C36" i="9"/>
  <c r="C37" i="9"/>
  <c r="C39" i="9"/>
  <c r="C40" i="9"/>
  <c r="C41" i="9"/>
  <c r="C45" i="9"/>
  <c r="C48" i="9"/>
  <c r="C50" i="9"/>
  <c r="C52" i="9"/>
  <c r="C53" i="9"/>
  <c r="C57" i="9"/>
  <c r="C58" i="9"/>
  <c r="C59" i="9"/>
  <c r="C61" i="9"/>
  <c r="C63" i="9"/>
  <c r="C64" i="9"/>
  <c r="C66" i="9"/>
  <c r="C68" i="9"/>
  <c r="C69" i="9"/>
  <c r="C70" i="9"/>
  <c r="C71" i="9"/>
  <c r="C75" i="9"/>
  <c r="C77" i="9"/>
  <c r="C78" i="9"/>
  <c r="C79" i="9"/>
  <c r="C80" i="9"/>
  <c r="C81" i="9"/>
  <c r="C82" i="9"/>
  <c r="C83" i="9"/>
  <c r="C85" i="9"/>
  <c r="C87" i="9"/>
  <c r="C88" i="9"/>
  <c r="C91" i="9"/>
  <c r="C92" i="9"/>
  <c r="C100" i="9"/>
  <c r="C104" i="9"/>
  <c r="C106" i="9"/>
  <c r="C107" i="9"/>
  <c r="C110" i="9"/>
  <c r="C111" i="9"/>
  <c r="C112" i="9"/>
  <c r="C114" i="9"/>
  <c r="C116" i="9"/>
  <c r="C118" i="9"/>
  <c r="C119" i="9"/>
  <c r="C120" i="9"/>
  <c r="C121" i="9"/>
  <c r="C122" i="9"/>
  <c r="C123" i="9"/>
  <c r="C126" i="9"/>
  <c r="C127" i="9"/>
  <c r="C128" i="9"/>
  <c r="C130" i="9"/>
  <c r="C135" i="9"/>
  <c r="C136" i="9"/>
  <c r="C137" i="9"/>
  <c r="C138" i="9"/>
  <c r="C139" i="9"/>
  <c r="C141" i="9"/>
  <c r="C144" i="9"/>
  <c r="C145" i="9"/>
  <c r="C146" i="9"/>
  <c r="C147" i="9"/>
  <c r="C152" i="9"/>
  <c r="C153" i="9"/>
  <c r="C156" i="9"/>
  <c r="C160" i="9"/>
  <c r="C161" i="9"/>
  <c r="C163" i="9"/>
  <c r="C164" i="9"/>
  <c r="C168" i="9"/>
  <c r="C169" i="9"/>
  <c r="C170" i="9"/>
  <c r="C171" i="9"/>
  <c r="C176" i="9"/>
  <c r="C179" i="9"/>
  <c r="C180" i="9"/>
  <c r="C182" i="9"/>
  <c r="C183" i="9"/>
  <c r="C184" i="9"/>
  <c r="C186" i="9"/>
  <c r="C188" i="9"/>
  <c r="C189" i="9"/>
  <c r="C191" i="9"/>
  <c r="C192" i="9"/>
  <c r="C193" i="9"/>
  <c r="C194" i="9"/>
  <c r="C197" i="9"/>
  <c r="C204" i="9"/>
  <c r="C205" i="9"/>
  <c r="C208" i="9"/>
  <c r="C210" i="9"/>
  <c r="C212" i="9"/>
  <c r="C214" i="9"/>
  <c r="C215" i="9"/>
  <c r="C216" i="9"/>
  <c r="C218" i="9"/>
  <c r="C221" i="9"/>
  <c r="C225" i="9"/>
  <c r="C226" i="9"/>
  <c r="C229" i="9"/>
  <c r="C233" i="9"/>
  <c r="C234" i="9"/>
  <c r="C235" i="9"/>
  <c r="C236" i="9"/>
  <c r="C237" i="9"/>
  <c r="C239" i="9"/>
  <c r="C241" i="9"/>
  <c r="C243" i="9"/>
  <c r="C245" i="9"/>
  <c r="C247" i="9"/>
  <c r="C249" i="9"/>
  <c r="C250" i="9"/>
  <c r="C252" i="9"/>
  <c r="C254" i="9"/>
  <c r="C259" i="9"/>
  <c r="C262" i="9"/>
  <c r="C264" i="9"/>
  <c r="C265" i="9"/>
  <c r="C267" i="9"/>
  <c r="C270" i="9"/>
  <c r="C272" i="9"/>
  <c r="C278" i="9"/>
  <c r="C280" i="9"/>
  <c r="C281" i="9"/>
  <c r="C287" i="9"/>
  <c r="C295" i="9"/>
  <c r="C296" i="9"/>
  <c r="C297" i="9"/>
  <c r="C298" i="9"/>
  <c r="C299" i="9"/>
  <c r="C301" i="9"/>
  <c r="C302" i="9"/>
  <c r="C304" i="9"/>
  <c r="C309" i="9"/>
  <c r="C312" i="9"/>
  <c r="C314" i="9"/>
  <c r="C316" i="9"/>
  <c r="C321" i="9"/>
  <c r="C322" i="9"/>
  <c r="C323" i="9"/>
  <c r="C326" i="9"/>
  <c r="C330" i="9"/>
  <c r="C333" i="9"/>
  <c r="C334" i="9"/>
  <c r="C336" i="9"/>
  <c r="C339" i="9"/>
  <c r="C340" i="9"/>
  <c r="C341" i="9"/>
  <c r="C343" i="9"/>
  <c r="C345" i="9"/>
  <c r="C346" i="9"/>
  <c r="C348" i="9"/>
  <c r="C350" i="9"/>
  <c r="C352" i="9"/>
  <c r="C354" i="9"/>
  <c r="C355" i="9"/>
  <c r="C356" i="9"/>
  <c r="C358" i="9"/>
  <c r="C360" i="9"/>
  <c r="C361" i="9"/>
  <c r="C362" i="9"/>
  <c r="C364" i="9"/>
  <c r="C366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" i="9"/>
  <c r="B367" i="9"/>
  <c r="C367" i="9" s="1"/>
  <c r="B365" i="9"/>
  <c r="C365" i="9" s="1"/>
  <c r="B363" i="9"/>
  <c r="C363" i="9" s="1"/>
  <c r="B362" i="9"/>
  <c r="B359" i="9"/>
  <c r="C359" i="9" s="1"/>
  <c r="B357" i="9"/>
  <c r="C357" i="9" s="1"/>
  <c r="B353" i="9"/>
  <c r="C353" i="9" s="1"/>
  <c r="B351" i="9"/>
  <c r="C351" i="9" s="1"/>
  <c r="B349" i="9"/>
  <c r="C349" i="9" s="1"/>
  <c r="B347" i="9"/>
  <c r="C347" i="9" s="1"/>
  <c r="B344" i="9"/>
  <c r="C344" i="9" s="1"/>
  <c r="B342" i="9"/>
  <c r="C342" i="9" s="1"/>
  <c r="B338" i="9"/>
  <c r="C338" i="9" s="1"/>
  <c r="B337" i="9"/>
  <c r="C337" i="9" s="1"/>
  <c r="B335" i="9"/>
  <c r="C335" i="9" s="1"/>
  <c r="B332" i="9"/>
  <c r="C332" i="9" s="1"/>
  <c r="B331" i="9"/>
  <c r="C331" i="9" s="1"/>
  <c r="B329" i="9"/>
  <c r="C329" i="9" s="1"/>
  <c r="B328" i="9"/>
  <c r="C328" i="9" s="1"/>
  <c r="B327" i="9"/>
  <c r="C327" i="9" s="1"/>
  <c r="B325" i="9"/>
  <c r="C325" i="9" s="1"/>
  <c r="B324" i="9"/>
  <c r="C324" i="9" s="1"/>
  <c r="B320" i="9"/>
  <c r="C320" i="9" s="1"/>
  <c r="B319" i="9"/>
  <c r="C319" i="9" s="1"/>
  <c r="B318" i="9"/>
  <c r="C318" i="9" s="1"/>
  <c r="B317" i="9"/>
  <c r="C317" i="9" s="1"/>
  <c r="B315" i="9"/>
  <c r="C315" i="9" s="1"/>
  <c r="B314" i="9"/>
  <c r="B313" i="9"/>
  <c r="C313" i="9" s="1"/>
  <c r="B311" i="9"/>
  <c r="C311" i="9" s="1"/>
  <c r="B310" i="9"/>
  <c r="C310" i="9" s="1"/>
  <c r="B308" i="9"/>
  <c r="C308" i="9" s="1"/>
  <c r="B307" i="9"/>
  <c r="C307" i="9" s="1"/>
  <c r="B306" i="9"/>
  <c r="C306" i="9" s="1"/>
  <c r="B305" i="9"/>
  <c r="C305" i="9" s="1"/>
  <c r="B303" i="9"/>
  <c r="C303" i="9" s="1"/>
  <c r="B300" i="9"/>
  <c r="C300" i="9" s="1"/>
  <c r="B294" i="9"/>
  <c r="C294" i="9" s="1"/>
  <c r="B293" i="9"/>
  <c r="C293" i="9" s="1"/>
  <c r="B292" i="9"/>
  <c r="C292" i="9" s="1"/>
  <c r="B291" i="9"/>
  <c r="C291" i="9" s="1"/>
  <c r="B290" i="9"/>
  <c r="C290" i="9" s="1"/>
  <c r="B289" i="9"/>
  <c r="C289" i="9" s="1"/>
  <c r="B288" i="9"/>
  <c r="C288" i="9" s="1"/>
  <c r="B286" i="9"/>
  <c r="C286" i="9" s="1"/>
  <c r="B285" i="9"/>
  <c r="C285" i="9" s="1"/>
  <c r="B284" i="9"/>
  <c r="C284" i="9" s="1"/>
  <c r="B283" i="9"/>
  <c r="C283" i="9" s="1"/>
  <c r="B282" i="9"/>
  <c r="C282" i="9" s="1"/>
  <c r="B279" i="9"/>
  <c r="C279" i="9" s="1"/>
  <c r="B277" i="9"/>
  <c r="C277" i="9" s="1"/>
  <c r="B276" i="9"/>
  <c r="C276" i="9" s="1"/>
  <c r="B275" i="9"/>
  <c r="C275" i="9" s="1"/>
  <c r="B274" i="9"/>
  <c r="C274" i="9" s="1"/>
  <c r="B273" i="9"/>
  <c r="C273" i="9" s="1"/>
  <c r="B271" i="9"/>
  <c r="C271" i="9" s="1"/>
  <c r="B269" i="9"/>
  <c r="C269" i="9" s="1"/>
  <c r="B268" i="9"/>
  <c r="C268" i="9" s="1"/>
  <c r="B266" i="9"/>
  <c r="C266" i="9" s="1"/>
  <c r="B263" i="9"/>
  <c r="C263" i="9" s="1"/>
  <c r="B261" i="9"/>
  <c r="C261" i="9" s="1"/>
  <c r="B260" i="9"/>
  <c r="C260" i="9" s="1"/>
  <c r="B258" i="9"/>
  <c r="C258" i="9" s="1"/>
  <c r="B257" i="9"/>
  <c r="C257" i="9" s="1"/>
  <c r="B256" i="9"/>
  <c r="C256" i="9" s="1"/>
  <c r="B255" i="9"/>
  <c r="C255" i="9" s="1"/>
  <c r="B253" i="9"/>
  <c r="C253" i="9" s="1"/>
  <c r="B251" i="9"/>
  <c r="C251" i="9" s="1"/>
  <c r="B248" i="9"/>
  <c r="C248" i="9" s="1"/>
  <c r="B246" i="9"/>
  <c r="C246" i="9" s="1"/>
  <c r="B244" i="9"/>
  <c r="C244" i="9" s="1"/>
  <c r="B242" i="9"/>
  <c r="C242" i="9" s="1"/>
  <c r="B240" i="9"/>
  <c r="C240" i="9" s="1"/>
  <c r="B238" i="9"/>
  <c r="C238" i="9" s="1"/>
  <c r="B232" i="9"/>
  <c r="C232" i="9" s="1"/>
  <c r="B231" i="9"/>
  <c r="C231" i="9" s="1"/>
  <c r="B230" i="9"/>
  <c r="C230" i="9" s="1"/>
  <c r="B228" i="9"/>
  <c r="C228" i="9" s="1"/>
  <c r="B227" i="9"/>
  <c r="C227" i="9" s="1"/>
  <c r="B224" i="9"/>
  <c r="C224" i="9" s="1"/>
  <c r="B223" i="9"/>
  <c r="C223" i="9" s="1"/>
  <c r="B222" i="9"/>
  <c r="C222" i="9" s="1"/>
  <c r="B220" i="9"/>
  <c r="C220" i="9" s="1"/>
  <c r="B219" i="9"/>
  <c r="C219" i="9" s="1"/>
  <c r="B217" i="9"/>
  <c r="C217" i="9" s="1"/>
  <c r="B213" i="9"/>
  <c r="C213" i="9" s="1"/>
  <c r="B211" i="9"/>
  <c r="C211" i="9" s="1"/>
  <c r="B209" i="9"/>
  <c r="C209" i="9" s="1"/>
  <c r="B207" i="9"/>
  <c r="C207" i="9" s="1"/>
  <c r="B206" i="9"/>
  <c r="C206" i="9" s="1"/>
  <c r="B203" i="9"/>
  <c r="C203" i="9" s="1"/>
  <c r="B202" i="9"/>
  <c r="C202" i="9" s="1"/>
  <c r="B201" i="9"/>
  <c r="C201" i="9" s="1"/>
  <c r="B200" i="9"/>
  <c r="C200" i="9" s="1"/>
  <c r="B199" i="9"/>
  <c r="C199" i="9" s="1"/>
  <c r="B198" i="9"/>
  <c r="C198" i="9" s="1"/>
  <c r="B196" i="9"/>
  <c r="C196" i="9" s="1"/>
  <c r="B195" i="9"/>
  <c r="C195" i="9" s="1"/>
  <c r="B190" i="9"/>
  <c r="C190" i="9" s="1"/>
  <c r="B187" i="9"/>
  <c r="C187" i="9" s="1"/>
  <c r="B185" i="9"/>
  <c r="C185" i="9" s="1"/>
  <c r="B181" i="9"/>
  <c r="C181" i="9" s="1"/>
  <c r="B178" i="9"/>
  <c r="C178" i="9" s="1"/>
  <c r="B177" i="9"/>
  <c r="C177" i="9" s="1"/>
  <c r="B175" i="9"/>
  <c r="C175" i="9" s="1"/>
  <c r="B174" i="9"/>
  <c r="C174" i="9" s="1"/>
  <c r="B173" i="9"/>
  <c r="C173" i="9" s="1"/>
  <c r="B172" i="9"/>
  <c r="C172" i="9" s="1"/>
  <c r="B167" i="9"/>
  <c r="C167" i="9" s="1"/>
  <c r="B166" i="9"/>
  <c r="C166" i="9" s="1"/>
  <c r="B165" i="9"/>
  <c r="C165" i="9" s="1"/>
  <c r="B162" i="9"/>
  <c r="C162" i="9" s="1"/>
  <c r="B159" i="9"/>
  <c r="C159" i="9" s="1"/>
  <c r="B158" i="9"/>
  <c r="C158" i="9" s="1"/>
  <c r="B157" i="9"/>
  <c r="C157" i="9" s="1"/>
  <c r="B155" i="9"/>
  <c r="C155" i="9" s="1"/>
  <c r="B154" i="9"/>
  <c r="C154" i="9" s="1"/>
  <c r="B151" i="9"/>
  <c r="C151" i="9" s="1"/>
  <c r="B150" i="9"/>
  <c r="C150" i="9" s="1"/>
  <c r="B149" i="9"/>
  <c r="C149" i="9" s="1"/>
  <c r="B148" i="9"/>
  <c r="C148" i="9" s="1"/>
  <c r="B143" i="9"/>
  <c r="C143" i="9" s="1"/>
  <c r="B142" i="9"/>
  <c r="C142" i="9" s="1"/>
  <c r="B140" i="9"/>
  <c r="C140" i="9" s="1"/>
  <c r="B134" i="9"/>
  <c r="C134" i="9" s="1"/>
  <c r="B133" i="9"/>
  <c r="C133" i="9" s="1"/>
  <c r="B132" i="9"/>
  <c r="C132" i="9" s="1"/>
  <c r="B131" i="9"/>
  <c r="C131" i="9" s="1"/>
  <c r="B129" i="9"/>
  <c r="C129" i="9" s="1"/>
  <c r="B125" i="9"/>
  <c r="C125" i="9" s="1"/>
  <c r="B124" i="9"/>
  <c r="C124" i="9" s="1"/>
  <c r="B121" i="9"/>
  <c r="B117" i="9"/>
  <c r="C117" i="9" s="1"/>
  <c r="B115" i="9"/>
  <c r="C115" i="9" s="1"/>
  <c r="B113" i="9"/>
  <c r="C113" i="9" s="1"/>
  <c r="B109" i="9"/>
  <c r="C109" i="9" s="1"/>
  <c r="B108" i="9"/>
  <c r="C108" i="9" s="1"/>
  <c r="B105" i="9"/>
  <c r="C105" i="9" s="1"/>
  <c r="B103" i="9"/>
  <c r="C103" i="9" s="1"/>
  <c r="B102" i="9"/>
  <c r="C102" i="9" s="1"/>
  <c r="B101" i="9"/>
  <c r="C101" i="9" s="1"/>
  <c r="B99" i="9"/>
  <c r="C99" i="9" s="1"/>
  <c r="B98" i="9"/>
  <c r="C98" i="9" s="1"/>
  <c r="B97" i="9"/>
  <c r="C97" i="9" s="1"/>
  <c r="B96" i="9"/>
  <c r="C96" i="9" s="1"/>
  <c r="B95" i="9"/>
  <c r="C95" i="9" s="1"/>
  <c r="B94" i="9"/>
  <c r="C94" i="9" s="1"/>
  <c r="B93" i="9"/>
  <c r="C93" i="9" s="1"/>
  <c r="B90" i="9"/>
  <c r="C90" i="9" s="1"/>
  <c r="B89" i="9"/>
  <c r="C89" i="9" s="1"/>
  <c r="B86" i="9"/>
  <c r="C86" i="9" s="1"/>
  <c r="B84" i="9"/>
  <c r="C84" i="9" s="1"/>
  <c r="B76" i="9"/>
  <c r="C76" i="9" s="1"/>
  <c r="B74" i="9"/>
  <c r="C74" i="9" s="1"/>
  <c r="B73" i="9"/>
  <c r="C73" i="9" s="1"/>
  <c r="B72" i="9"/>
  <c r="C72" i="9" s="1"/>
  <c r="B67" i="9"/>
  <c r="C67" i="9" s="1"/>
  <c r="B65" i="9"/>
  <c r="C65" i="9" s="1"/>
  <c r="B62" i="9"/>
  <c r="C62" i="9" s="1"/>
  <c r="B60" i="9"/>
  <c r="C60" i="9" s="1"/>
  <c r="B56" i="9"/>
  <c r="C56" i="9" s="1"/>
  <c r="B55" i="9"/>
  <c r="C55" i="9" s="1"/>
  <c r="B54" i="9"/>
  <c r="C54" i="9" s="1"/>
  <c r="B51" i="9"/>
  <c r="C51" i="9" s="1"/>
  <c r="B49" i="9"/>
  <c r="C49" i="9" s="1"/>
  <c r="B47" i="9"/>
  <c r="C47" i="9" s="1"/>
  <c r="B46" i="9"/>
  <c r="C46" i="9" s="1"/>
  <c r="B44" i="9"/>
  <c r="C44" i="9" s="1"/>
  <c r="B43" i="9"/>
  <c r="C43" i="9" s="1"/>
  <c r="B42" i="9"/>
  <c r="C42" i="9" s="1"/>
  <c r="B38" i="9"/>
  <c r="C38" i="9" s="1"/>
  <c r="B33" i="9"/>
  <c r="B31" i="9"/>
  <c r="C31" i="9" s="1"/>
  <c r="B29" i="9"/>
  <c r="C29" i="9" s="1"/>
  <c r="B28" i="9"/>
  <c r="C28" i="9" s="1"/>
  <c r="B26" i="9"/>
  <c r="B25" i="9"/>
  <c r="C25" i="9" s="1"/>
  <c r="B24" i="9"/>
  <c r="C24" i="9" s="1"/>
  <c r="B20" i="9"/>
  <c r="C20" i="9" s="1"/>
  <c r="B19" i="9"/>
  <c r="C19" i="9" s="1"/>
  <c r="B18" i="9"/>
  <c r="C18" i="9" s="1"/>
  <c r="B14" i="9"/>
  <c r="C14" i="9" s="1"/>
  <c r="B13" i="9"/>
  <c r="C13" i="9" s="1"/>
  <c r="B11" i="9"/>
  <c r="C11" i="9" s="1"/>
  <c r="B10" i="9"/>
  <c r="C10" i="9" s="1"/>
  <c r="B9" i="9"/>
  <c r="C9" i="9" s="1"/>
  <c r="B4" i="9"/>
  <c r="C4" i="9" s="1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2" i="8"/>
  <c r="F391" i="9" l="1"/>
  <c r="C391" i="9"/>
  <c r="F392" i="9"/>
  <c r="C392" i="9"/>
  <c r="G2" i="1"/>
</calcChain>
</file>

<file path=xl/sharedStrings.xml><?xml version="1.0" encoding="utf-8"?>
<sst xmlns="http://schemas.openxmlformats.org/spreadsheetml/2006/main" count="6324" uniqueCount="6230">
  <si>
    <t>4559416877.813752</t>
  </si>
  <si>
    <t>2431940254.860952</t>
  </si>
  <si>
    <t>92753308100.92317</t>
  </si>
  <si>
    <t>5247.73</t>
  </si>
  <si>
    <t>13878964574.000002</t>
  </si>
  <si>
    <t>132.23807304299999</t>
  </si>
  <si>
    <t>4428233258.02746</t>
  </si>
  <si>
    <t>2199130282.8797636</t>
  </si>
  <si>
    <t>93400432917.56865</t>
  </si>
  <si>
    <t>5284.86</t>
  </si>
  <si>
    <t>13735490672.0</t>
  </si>
  <si>
    <t>90.515911164</t>
  </si>
  <si>
    <t>2960680689.353847</t>
  </si>
  <si>
    <t>1592505006.8877065</t>
  </si>
  <si>
    <t>93154635948.97037</t>
  </si>
  <si>
    <t>5271.75</t>
  </si>
  <si>
    <t>12819992056.0</t>
  </si>
  <si>
    <t>10.8690305625</t>
  </si>
  <si>
    <t>2843823977.4764314</t>
  </si>
  <si>
    <t>1610204923.6118438</t>
  </si>
  <si>
    <t>93283697547.5354</t>
  </si>
  <si>
    <t>5279.47</t>
  </si>
  <si>
    <t>13111274675.0</t>
  </si>
  <si>
    <t>27.312810098</t>
  </si>
  <si>
    <t>5874474753.589276</t>
  </si>
  <si>
    <t>2767320366.606049</t>
  </si>
  <si>
    <t>92052355300.93439</t>
  </si>
  <si>
    <t>5210.3</t>
  </si>
  <si>
    <t>16812108040.0</t>
  </si>
  <si>
    <t>73.125205822</t>
  </si>
  <si>
    <t>6828947753.78403</t>
  </si>
  <si>
    <t>2408939590.7835135</t>
  </si>
  <si>
    <t>96568863409.20164</t>
  </si>
  <si>
    <t>5466.52</t>
  </si>
  <si>
    <t>15330283407.999998</t>
  </si>
  <si>
    <t>73.779980484</t>
  </si>
  <si>
    <t>8254410084.1373415</t>
  </si>
  <si>
    <t>3427114802.94321</t>
  </si>
  <si>
    <t>98413699286.4748</t>
  </si>
  <si>
    <t>5571.51</t>
  </si>
  <si>
    <t>17048033399.0</t>
  </si>
  <si>
    <t>102.06828031680001</t>
  </si>
  <si>
    <t>6305930095.367231</t>
  </si>
  <si>
    <t>2768174316.9273753</t>
  </si>
  <si>
    <t>95362088391.23595</t>
  </si>
  <si>
    <t>5399.37</t>
  </si>
  <si>
    <t>15867308108.0</t>
  </si>
  <si>
    <t>145.78298999999998</t>
  </si>
  <si>
    <t>5440360288.452483</t>
  </si>
  <si>
    <t>2102322055.7691364</t>
  </si>
  <si>
    <t>93819885517.74045</t>
  </si>
  <si>
    <t>5312.49</t>
  </si>
  <si>
    <t>14601631648.0</t>
  </si>
  <si>
    <t>62.178232958399995</t>
  </si>
  <si>
    <t>2500468070.8667145</t>
  </si>
  <si>
    <t>1359722441.7943616</t>
  </si>
  <si>
    <t>94224062935.33865</t>
  </si>
  <si>
    <t>5335.88</t>
  </si>
  <si>
    <t>13731844223.0</t>
  </si>
  <si>
    <t>3.6359219908</t>
  </si>
  <si>
    <t>3590986176.2130713</t>
  </si>
  <si>
    <t>1849710505.519152</t>
  </si>
  <si>
    <t>93653162039.26402</t>
  </si>
  <si>
    <t>5304.16</t>
  </si>
  <si>
    <t>13169647522.000002</t>
  </si>
  <si>
    <t>41.731645715199996</t>
  </si>
  <si>
    <t>4879625855.404843</t>
  </si>
  <si>
    <t>2262980578.1571507</t>
  </si>
  <si>
    <t>93538418150.7909</t>
  </si>
  <si>
    <t>5298.15</t>
  </si>
  <si>
    <t>13780238655.0</t>
  </si>
  <si>
    <t>60.2968146495</t>
  </si>
  <si>
    <t>5854396036.204195</t>
  </si>
  <si>
    <t>2703475940.1537485</t>
  </si>
  <si>
    <t>92704301183.24748</t>
  </si>
  <si>
    <t>5251.48</t>
  </si>
  <si>
    <t>13256489918.0</t>
  </si>
  <si>
    <t>65.938108028</t>
  </si>
  <si>
    <t>5625292162.768388</t>
  </si>
  <si>
    <t>2540327779.179312</t>
  </si>
  <si>
    <t>92423729779.19249</t>
  </si>
  <si>
    <t>5236.14</t>
  </si>
  <si>
    <t>12438480677.0</t>
  </si>
  <si>
    <t>99.20945874840001</t>
  </si>
  <si>
    <t>3660822194.186869</t>
  </si>
  <si>
    <t>2020157449.3700829</t>
  </si>
  <si>
    <t>89422213791.5169</t>
  </si>
  <si>
    <t>5066.58</t>
  </si>
  <si>
    <t>11618660197.0</t>
  </si>
  <si>
    <t>86.7156313476</t>
  </si>
  <si>
    <t>4174072051.1582346</t>
  </si>
  <si>
    <t>2310089172.1112757</t>
  </si>
  <si>
    <t>91190701763.0827</t>
  </si>
  <si>
    <t>5167.32</t>
  </si>
  <si>
    <t>12290155061.0</t>
  </si>
  <si>
    <t>73.96103964359999</t>
  </si>
  <si>
    <t>2999510003.866616</t>
  </si>
  <si>
    <t>1611831621.0271046</t>
  </si>
  <si>
    <t>89918802991.42642</t>
  </si>
  <si>
    <t>5095.76</t>
  </si>
  <si>
    <t>10391952498.0</t>
  </si>
  <si>
    <t>28.7722406456</t>
  </si>
  <si>
    <t>2813155786.082241</t>
  </si>
  <si>
    <t>1599266668.8038096</t>
  </si>
  <si>
    <t>89789008278.6027</t>
  </si>
  <si>
    <t>5088.85</t>
  </si>
  <si>
    <t>10823289598.0</t>
  </si>
  <si>
    <t>24.9093609765</t>
  </si>
  <si>
    <t>3998211749.726562</t>
  </si>
  <si>
    <t>2150098122.444577</t>
  </si>
  <si>
    <t>89292642236.30309</t>
  </si>
  <si>
    <t>5061.2</t>
  </si>
  <si>
    <t>13675206312.0</t>
  </si>
  <si>
    <t>66.468081644</t>
  </si>
  <si>
    <t>5403442619.031757</t>
  </si>
  <si>
    <t>2853701197.932793</t>
  </si>
  <si>
    <t>93938159484.3709</t>
  </si>
  <si>
    <t>5325.08</t>
  </si>
  <si>
    <t>16555616018.999998</t>
  </si>
  <si>
    <t>64.75520933359999</t>
  </si>
  <si>
    <t>4523804406.367693</t>
  </si>
  <si>
    <t>2446143134.9496264</t>
  </si>
  <si>
    <t>91794027478.41904</t>
  </si>
  <si>
    <t>5204.11</t>
  </si>
  <si>
    <t>15504590933.0</t>
  </si>
  <si>
    <t>68.2626231166</t>
  </si>
  <si>
    <t>4717538985.094005</t>
  </si>
  <si>
    <t>2500152022.614825</t>
  </si>
  <si>
    <t>93297760982.18163</t>
  </si>
  <si>
    <t>5289.92</t>
  </si>
  <si>
    <t>14722104361.0</t>
  </si>
  <si>
    <t>99.9268003968</t>
  </si>
  <si>
    <t>4557965726.372932</t>
  </si>
  <si>
    <t>2729636445.8329916</t>
  </si>
  <si>
    <t>91700428797.66876</t>
  </si>
  <si>
    <t>5199.84</t>
  </si>
  <si>
    <t>17154113634.000002</t>
  </si>
  <si>
    <t>87.88769568000001</t>
  </si>
  <si>
    <t>3047313015.1649013</t>
  </si>
  <si>
    <t>1512854988.5620613</t>
  </si>
  <si>
    <t>89274149501.50589</t>
  </si>
  <si>
    <t>5062.79</t>
  </si>
  <si>
    <t>16655416140.0</t>
  </si>
  <si>
    <t>22.4781294373</t>
  </si>
  <si>
    <t>2808789768.2111225</t>
  </si>
  <si>
    <t>1403072868.8057396</t>
  </si>
  <si>
    <t>88806677651.30489</t>
  </si>
  <si>
    <t>5036.79</t>
  </si>
  <si>
    <t>16929795193.999998</t>
  </si>
  <si>
    <t>42.0260691378</t>
  </si>
  <si>
    <t>4011502139.683627</t>
  </si>
  <si>
    <t>2178098413.7501307</t>
  </si>
  <si>
    <t>86788602978.82861</t>
  </si>
  <si>
    <t>4922.81</t>
  </si>
  <si>
    <t>16837325386.999998</t>
  </si>
  <si>
    <t>81.98201633500001</t>
  </si>
  <si>
    <t>4728319349.916195</t>
  </si>
  <si>
    <t>2460924033.6931086</t>
  </si>
  <si>
    <t>87633858252.17671</t>
  </si>
  <si>
    <t>4971.31</t>
  </si>
  <si>
    <t>18251810240.0</t>
  </si>
  <si>
    <t>121.19019747520001</t>
  </si>
  <si>
    <t>4798356066.559401</t>
  </si>
  <si>
    <t>2679791083.3428655</t>
  </si>
  <si>
    <t>86014996910.54413</t>
  </si>
  <si>
    <t>4879.96</t>
  </si>
  <si>
    <t>22899891582.000004</t>
  </si>
  <si>
    <t>139.07886000000002</t>
  </si>
  <si>
    <t>6150191356.952685</t>
  </si>
  <si>
    <t>2783181805.589125</t>
  </si>
  <si>
    <t>73247080187.8569</t>
  </si>
  <si>
    <t>4156.92</t>
  </si>
  <si>
    <t>21315047815.999996</t>
  </si>
  <si>
    <t>120.4233119712</t>
  </si>
  <si>
    <t>3254923018.0503845</t>
  </si>
  <si>
    <t>1814395249.3703046</t>
  </si>
  <si>
    <t>72338651929.25363</t>
  </si>
  <si>
    <t>4105.36</t>
  </si>
  <si>
    <t>10157794171.0</t>
  </si>
  <si>
    <t>49.5780516112</t>
  </si>
  <si>
    <t>2290403714.3214397</t>
  </si>
  <si>
    <t>1176942842.7072618</t>
  </si>
  <si>
    <t>72340436268.60637</t>
  </si>
  <si>
    <t>4105.46</t>
  </si>
  <si>
    <t>9045122443.0</t>
  </si>
  <si>
    <t>19.6149436242</t>
  </si>
  <si>
    <t>2486888198.8217063</t>
  </si>
  <si>
    <t>1221329430.3181853</t>
  </si>
  <si>
    <t>72099362948.48619</t>
  </si>
  <si>
    <t>4092.14</t>
  </si>
  <si>
    <t>9732688060.0</t>
  </si>
  <si>
    <t>38.3585745608</t>
  </si>
  <si>
    <t>3560277739.80208</t>
  </si>
  <si>
    <t>1785971568.4273648</t>
  </si>
  <si>
    <t>71672337580.58998</t>
  </si>
  <si>
    <t>4068.3</t>
  </si>
  <si>
    <t>10918665557.0</t>
  </si>
  <si>
    <t>65.031165255</t>
  </si>
  <si>
    <t>3264378305.024551</t>
  </si>
  <si>
    <t>1604505130.9079003</t>
  </si>
  <si>
    <t>72004355346.7406</t>
  </si>
  <si>
    <t>4087.58</t>
  </si>
  <si>
    <t>9353915899.0</t>
  </si>
  <si>
    <t>56.6449887514</t>
  </si>
  <si>
    <t>2947190512.7848673</t>
  </si>
  <si>
    <t>1658037711.422785</t>
  </si>
  <si>
    <t>70176645324.46985</t>
  </si>
  <si>
    <t>3984.24</t>
  </si>
  <si>
    <t>10897131934.0</t>
  </si>
  <si>
    <t>67.73208</t>
  </si>
  <si>
    <t>2987186565.6324086</t>
  </si>
  <si>
    <t>1699299258.5290759</t>
  </si>
  <si>
    <t>69905001305.51048</t>
  </si>
  <si>
    <t>3969.23</t>
  </si>
  <si>
    <t>10707678815.0</t>
  </si>
  <si>
    <t>52.3185397069</t>
  </si>
  <si>
    <t>2833459909.9154863</t>
  </si>
  <si>
    <t>1631093321.138533</t>
  </si>
  <si>
    <t>70864790002.42564</t>
  </si>
  <si>
    <t>4024.11</t>
  </si>
  <si>
    <t>10359818883.0</t>
  </si>
  <si>
    <t>100.60275000000001</t>
  </si>
  <si>
    <t>1870356508.915971</t>
  </si>
  <si>
    <t>1062385577.0514063</t>
  </si>
  <si>
    <t>71051773087.56186</t>
  </si>
  <si>
    <t>4035.16</t>
  </si>
  <si>
    <t>9144851065.0</t>
  </si>
  <si>
    <t>120.8695054528</t>
  </si>
  <si>
    <t>2047679784.7389948</t>
  </si>
  <si>
    <t>1006055011.1733268</t>
  </si>
  <si>
    <t>70825023305.42567</t>
  </si>
  <si>
    <t>4022.71</t>
  </si>
  <si>
    <t>9578850549.0</t>
  </si>
  <si>
    <t>126.83290858620002</t>
  </si>
  <si>
    <t>2839476677.7489066</t>
  </si>
  <si>
    <t>1476990596.2154844</t>
  </si>
  <si>
    <t>70919972608.98766</t>
  </si>
  <si>
    <t>4028.51</t>
  </si>
  <si>
    <t>9252935969.0</t>
  </si>
  <si>
    <t>137.8175427805</t>
  </si>
  <si>
    <t>3254986915.3610873</t>
  </si>
  <si>
    <t>1665943201.8008873</t>
  </si>
  <si>
    <t>71887674693.99228</t>
  </si>
  <si>
    <t>4083.95</t>
  </si>
  <si>
    <t>10831212662.0</t>
  </si>
  <si>
    <t>144.70635531300002</t>
  </si>
  <si>
    <t>3082682136.7631607</t>
  </si>
  <si>
    <t>1711532194.1466482</t>
  </si>
  <si>
    <t>71648688671.01234</t>
  </si>
  <si>
    <t>4070.79</t>
  </si>
  <si>
    <t>10175916388.0</t>
  </si>
  <si>
    <t>138.13818786</t>
  </si>
  <si>
    <t>2830122184.1543965</t>
  </si>
  <si>
    <t>1561162624.2623174</t>
  </si>
  <si>
    <t>70970153382.70563</t>
  </si>
  <si>
    <t>4032.69</t>
  </si>
  <si>
    <t>9344919956.0</t>
  </si>
  <si>
    <t>130.6728268191</t>
  </si>
  <si>
    <t>2829405175.8319635</t>
  </si>
  <si>
    <t>1438891761.203422</t>
  </si>
  <si>
    <t>70913470232.00136</t>
  </si>
  <si>
    <t>4029.97</t>
  </si>
  <si>
    <t>9646954186.0</t>
  </si>
  <si>
    <t>130.03338970229998</t>
  </si>
  <si>
    <t>1988810166.9277115</t>
  </si>
  <si>
    <t>944875720.742594</t>
  </si>
  <si>
    <t>71217640059.57329</t>
  </si>
  <si>
    <t>4047.72</t>
  </si>
  <si>
    <t>8221625400.0</t>
  </si>
  <si>
    <t>115.25878652280001</t>
  </si>
  <si>
    <t>2346483193.4141536</t>
  </si>
  <si>
    <t>1181738839.194457</t>
  </si>
  <si>
    <t>69735581444.70358</t>
  </si>
  <si>
    <t>3963.9</t>
  </si>
  <si>
    <t>9856166973.0</t>
  </si>
  <si>
    <t>135.179216862</t>
  </si>
  <si>
    <t>2923605923.165076</t>
  </si>
  <si>
    <t>1568578443.2943928</t>
  </si>
  <si>
    <t>69072522433.90302</t>
  </si>
  <si>
    <t>3926.66</t>
  </si>
  <si>
    <t>9394210605.0</t>
  </si>
  <si>
    <t>151.53935118380002</t>
  </si>
  <si>
    <t>3366027008.930936</t>
  </si>
  <si>
    <t>1894116086.1952276</t>
  </si>
  <si>
    <t>68694204013.05</t>
  </si>
  <si>
    <t>3905.58</t>
  </si>
  <si>
    <t>10480789570.0</t>
  </si>
  <si>
    <t>150.2468033724</t>
  </si>
  <si>
    <t>2957531790.294027</t>
  </si>
  <si>
    <t>1625997057.7377448</t>
  </si>
  <si>
    <t>68818024820.27687</t>
  </si>
  <si>
    <t>3913.05</t>
  </si>
  <si>
    <t>9469184841.0</t>
  </si>
  <si>
    <t>155.83522059450002</t>
  </si>
  <si>
    <t>2957213265.8860083</t>
  </si>
  <si>
    <t>1672919096.5817058</t>
  </si>
  <si>
    <t>68648040998.087715</t>
  </si>
  <si>
    <t>3903.76</t>
  </si>
  <si>
    <t>9809887079.0</t>
  </si>
  <si>
    <t>161.5948179216</t>
  </si>
  <si>
    <t>2812603424.2362714</t>
  </si>
  <si>
    <t>1563152838.5375025</t>
  </si>
  <si>
    <t>69519895117.46133</t>
  </si>
  <si>
    <t>3953.74</t>
  </si>
  <si>
    <t>10125901903.0</t>
  </si>
  <si>
    <t>172.1074487846</t>
  </si>
  <si>
    <t>1950637285.9948835</t>
  </si>
  <si>
    <t>1063617194.3713535</t>
  </si>
  <si>
    <t>69731460717.171</t>
  </si>
  <si>
    <t>3966.17</t>
  </si>
  <si>
    <t>9713267607.0</t>
  </si>
  <si>
    <t>141.89258739240003</t>
  </si>
  <si>
    <t>2209618453.5500054</t>
  </si>
  <si>
    <t>1098173095.2755835</t>
  </si>
  <si>
    <t>68465716202.44954</t>
  </si>
  <si>
    <t>3894.55</t>
  </si>
  <si>
    <t>10796103518.0</t>
  </si>
  <si>
    <t>152.01561964050003</t>
  </si>
  <si>
    <t>2857854696.0186925</t>
  </si>
  <si>
    <t>1635492909.057848</t>
  </si>
  <si>
    <t>68787274721.01765</t>
  </si>
  <si>
    <t>3913.23</t>
  </si>
  <si>
    <t>10638638944.0</t>
  </si>
  <si>
    <t>162.41802416550001</t>
  </si>
  <si>
    <t>3139532043.5416265</t>
  </si>
  <si>
    <t>1601369072.0560563</t>
  </si>
  <si>
    <t>68607053124.886536</t>
  </si>
  <si>
    <t>3903.38</t>
  </si>
  <si>
    <t>9584165519.0</t>
  </si>
  <si>
    <t>169.67091179220003</t>
  </si>
  <si>
    <t>3006107299.20993</t>
  </si>
  <si>
    <t>1695804198.8701103</t>
  </si>
  <si>
    <t>68489324543.9054</t>
  </si>
  <si>
    <t>3897.08</t>
  </si>
  <si>
    <t>9175291529.0</t>
  </si>
  <si>
    <t>180.7813323536</t>
  </si>
  <si>
    <t>3423719699.2928834</t>
  </si>
  <si>
    <t>1572846426.8066072</t>
  </si>
  <si>
    <t>66071077331.415825</t>
  </si>
  <si>
    <t>3759.83</t>
  </si>
  <si>
    <t>10174126415.0</t>
  </si>
  <si>
    <t>164.00716844700003</t>
  </si>
  <si>
    <t>3567932479.1916914</t>
  </si>
  <si>
    <t>1567385967.8019443</t>
  </si>
  <si>
    <t>67562261232.48275</t>
  </si>
  <si>
    <t>3845.09</t>
  </si>
  <si>
    <t>9029175788.0</t>
  </si>
  <si>
    <t>109.4261858812</t>
  </si>
  <si>
    <t>4433945451.502421</t>
  </si>
  <si>
    <t>1002193366.5198189</t>
  </si>
  <si>
    <t>67857497568.12696</t>
  </si>
  <si>
    <t>3862.27</t>
  </si>
  <si>
    <t>7253558152.0</t>
  </si>
  <si>
    <t>15.850949193499998</t>
  </si>
  <si>
    <t>2316638751.1255126</t>
  </si>
  <si>
    <t>1127208201.6942654</t>
  </si>
  <si>
    <t>67728390986.726006</t>
  </si>
  <si>
    <t>3855.32</t>
  </si>
  <si>
    <t>7578786076.0</t>
  </si>
  <si>
    <t>43.88267870840001</t>
  </si>
  <si>
    <t>2876653860.621128</t>
  </si>
  <si>
    <t>1500185806.6508725</t>
  </si>
  <si>
    <t>67694732251.11119</t>
  </si>
  <si>
    <t>3853.76</t>
  </si>
  <si>
    <t>7661247975.0</t>
  </si>
  <si>
    <t>63.48522366080001</t>
  </si>
  <si>
    <t>3516776375.9231815</t>
  </si>
  <si>
    <t>2092992684.7939613</t>
  </si>
  <si>
    <t>67590082470.12259</t>
  </si>
  <si>
    <t>3848.26</t>
  </si>
  <si>
    <t>8399767798.000001</t>
  </si>
  <si>
    <t>59.420213008000005</t>
  </si>
  <si>
    <t>3185789556.6696887</t>
  </si>
  <si>
    <t>1677493776.6240983</t>
  </si>
  <si>
    <t>67744872841.76003</t>
  </si>
  <si>
    <t>3857.48</t>
  </si>
  <si>
    <t>8301309683.999999</t>
  </si>
  <si>
    <t>74.7443069208</t>
  </si>
  <si>
    <t>3030567347.0437326</t>
  </si>
  <si>
    <t>1734643937.371099</t>
  </si>
  <si>
    <t>68110711262.090225</t>
  </si>
  <si>
    <t>3878.7</t>
  </si>
  <si>
    <t>7931218996.0</t>
  </si>
  <si>
    <t>59.60549559299999</t>
  </si>
  <si>
    <t>3249594646.238053</t>
  </si>
  <si>
    <t>1788045580.493821</t>
  </si>
  <si>
    <t>66844049271.475266</t>
  </si>
  <si>
    <t>3807.0</t>
  </si>
  <si>
    <t>9318796067.0</t>
  </si>
  <si>
    <t>68.26240332</t>
  </si>
  <si>
    <t>2450179686.661984</t>
  </si>
  <si>
    <t>1376643603.559076</t>
  </si>
  <si>
    <t>72779408505.58752</t>
  </si>
  <si>
    <t>4145.46</t>
  </si>
  <si>
    <t>10794227451.0</t>
  </si>
  <si>
    <t>40.450652497200004</t>
  </si>
  <si>
    <t>2609705976.45689</t>
  </si>
  <si>
    <t>1346985953.1094646</t>
  </si>
  <si>
    <t>70199836886.01299</t>
  </si>
  <si>
    <t>3998.92</t>
  </si>
  <si>
    <t>8922258316.0</t>
  </si>
  <si>
    <t>44.429760724800005</t>
  </si>
  <si>
    <t>2742074860.4555564</t>
  </si>
  <si>
    <t>1585609957.419681</t>
  </si>
  <si>
    <t>69376147290.06282</t>
  </si>
  <si>
    <t>3952.41</t>
  </si>
  <si>
    <t>7826525254.0</t>
  </si>
  <si>
    <t>77.58189541409999</t>
  </si>
  <si>
    <t>2977710360.321573</t>
  </si>
  <si>
    <t>1760849147.7494998</t>
  </si>
  <si>
    <t>70208132042.22627</t>
  </si>
  <si>
    <t>4000.26</t>
  </si>
  <si>
    <t>7775128102.0</t>
  </si>
  <si>
    <t>100.983563505</t>
  </si>
  <si>
    <t>3176812630.304639</t>
  </si>
  <si>
    <t>1840363917.0798717</t>
  </si>
  <si>
    <t>69261776135.86624</t>
  </si>
  <si>
    <t>3946.68</t>
  </si>
  <si>
    <t>8693373948.0</t>
  </si>
  <si>
    <t>105.5889636516</t>
  </si>
  <si>
    <t>3302161522.926226</t>
  </si>
  <si>
    <t>1792459478.4379263</t>
  </si>
  <si>
    <t>68640955336.24899</t>
  </si>
  <si>
    <t>3911.66</t>
  </si>
  <si>
    <t>9933626655.0</t>
  </si>
  <si>
    <t>79.9367670466</t>
  </si>
  <si>
    <t>2793238662.4660897</t>
  </si>
  <si>
    <t>1404535730.043435</t>
  </si>
  <si>
    <t>64417241392.30734</t>
  </si>
  <si>
    <t>3671.37</t>
  </si>
  <si>
    <t>9908216640.0</t>
  </si>
  <si>
    <t>63.9774771885</t>
  </si>
  <si>
    <t>1761878769.2075086</t>
  </si>
  <si>
    <t>861527836.3327719</t>
  </si>
  <si>
    <t>63743192949.84742</t>
  </si>
  <si>
    <t>3633.36</t>
  </si>
  <si>
    <t>7039512503.0</t>
  </si>
  <si>
    <t>13.448664038400002</t>
  </si>
  <si>
    <t>2002893999.6478755</t>
  </si>
  <si>
    <t>1029696069.999173</t>
  </si>
  <si>
    <t>63418660983.03418</t>
  </si>
  <si>
    <t>3615.27</t>
  </si>
  <si>
    <t>5934744052.0</t>
  </si>
  <si>
    <t>38.294928238500006</t>
  </si>
  <si>
    <t>2397273629.5587063</t>
  </si>
  <si>
    <t>1434080162.4521613</t>
  </si>
  <si>
    <t>63448773426.45465</t>
  </si>
  <si>
    <t>3617.37</t>
  </si>
  <si>
    <t>6091952231.0</t>
  </si>
  <si>
    <t>87.9889802274</t>
  </si>
  <si>
    <t>2103498951.7940052</t>
  </si>
  <si>
    <t>1194740991.9997764</t>
  </si>
  <si>
    <t>63685110569.728836</t>
  </si>
  <si>
    <t>3631.17</t>
  </si>
  <si>
    <t>6271044418.0</t>
  </si>
  <si>
    <t>50.7326737848</t>
  </si>
  <si>
    <t>2688426222.593212</t>
  </si>
  <si>
    <t>1656429287.6286106</t>
  </si>
  <si>
    <t>64071958914.50837</t>
  </si>
  <si>
    <t>3653.6</t>
  </si>
  <si>
    <t>6438903823.0</t>
  </si>
  <si>
    <t>96.15058551199999</t>
  </si>
  <si>
    <t>2498980529.660288</t>
  </si>
  <si>
    <t>1441744040.0058892</t>
  </si>
  <si>
    <t>63874730585.74515</t>
  </si>
  <si>
    <t>3642.75</t>
  </si>
  <si>
    <t>6480384532.0</t>
  </si>
  <si>
    <t>153.67578356250002</t>
  </si>
  <si>
    <t>2375287716.863344</t>
  </si>
  <si>
    <t>1256668847.2809784</t>
  </si>
  <si>
    <t>64795603229.82831</t>
  </si>
  <si>
    <t>3695.61</t>
  </si>
  <si>
    <t>6277056434.0</t>
  </si>
  <si>
    <t>72.6304885398</t>
  </si>
  <si>
    <t>1609282877.4775343</t>
  </si>
  <si>
    <t>923468015.09695</t>
  </si>
  <si>
    <t>64396168252.36999</t>
  </si>
  <si>
    <t>3673.2</t>
  </si>
  <si>
    <t>6282256903.0</t>
  </si>
  <si>
    <t>26.152045308</t>
  </si>
  <si>
    <t>2073127480.3467944</t>
  </si>
  <si>
    <t>1023201071.6328435</t>
  </si>
  <si>
    <t>64361569025.90032</t>
  </si>
  <si>
    <t>3671.59</t>
  </si>
  <si>
    <t>6158833645.0</t>
  </si>
  <si>
    <t>51.6914711443</t>
  </si>
  <si>
    <t>2568370005.906211</t>
  </si>
  <si>
    <t>1324304961.6371741</t>
  </si>
  <si>
    <t>59618414743.38116</t>
  </si>
  <si>
    <t>3401.38</t>
  </si>
  <si>
    <t>7735623101.000001</t>
  </si>
  <si>
    <t>68.1304237174</t>
  </si>
  <si>
    <t>2215865591.1324615</t>
  </si>
  <si>
    <t>1236779319.0071895</t>
  </si>
  <si>
    <t>59849023243.01895</t>
  </si>
  <si>
    <t>3414.93</t>
  </si>
  <si>
    <t>5004962683.0</t>
  </si>
  <si>
    <t>51.2200911291</t>
  </si>
  <si>
    <t>2336047750.387667</t>
  </si>
  <si>
    <t>1329247198.4354854</t>
  </si>
  <si>
    <t>60790557984.07716</t>
  </si>
  <si>
    <t>3469.09</t>
  </si>
  <si>
    <t>5482196038.0</t>
  </si>
  <si>
    <t>57.635808169</t>
  </si>
  <si>
    <t>2164584541.3910947</t>
  </si>
  <si>
    <t>1185396245.6805596</t>
  </si>
  <si>
    <t>60535644041.52352</t>
  </si>
  <si>
    <t>3454.95</t>
  </si>
  <si>
    <t>5227549545.0</t>
  </si>
  <si>
    <t>62.450225121</t>
  </si>
  <si>
    <t>2041334887.637956</t>
  </si>
  <si>
    <t>1163770225.4107125</t>
  </si>
  <si>
    <t>60744291807.76023</t>
  </si>
  <si>
    <t>3467.21</t>
  </si>
  <si>
    <t>5332718886.0</t>
  </si>
  <si>
    <t>51.182329922200005</t>
  </si>
  <si>
    <t>1696072712.6032176</t>
  </si>
  <si>
    <t>946423396.9722241</t>
  </si>
  <si>
    <t>61595050721.0987</t>
  </si>
  <si>
    <t>3516.14</t>
  </si>
  <si>
    <t>5043937584.0</t>
  </si>
  <si>
    <t>30.941821031600004</t>
  </si>
  <si>
    <t>1942097955.1307793</t>
  </si>
  <si>
    <t>967032326.7367913</t>
  </si>
  <si>
    <t>61037008773.67176</t>
  </si>
  <si>
    <t>3484.63</t>
  </si>
  <si>
    <t>5071623601.0</t>
  </si>
  <si>
    <t>32.7082007246</t>
  </si>
  <si>
    <t>3211674948.876336</t>
  </si>
  <si>
    <t>1753779494.4436617</t>
  </si>
  <si>
    <t>60608857675.70638</t>
  </si>
  <si>
    <t>3460.55</t>
  </si>
  <si>
    <t>5422926707.0</t>
  </si>
  <si>
    <t>64.60922982100001</t>
  </si>
  <si>
    <t>2628407496.632701</t>
  </si>
  <si>
    <t>1442065812.3720732</t>
  </si>
  <si>
    <t>61037594037.291176</t>
  </si>
  <si>
    <t>3485.41</t>
  </si>
  <si>
    <t>5831198271.0</t>
  </si>
  <si>
    <t>54.7108641651</t>
  </si>
  <si>
    <t>2786886689.100936</t>
  </si>
  <si>
    <t>1615025256.3103423</t>
  </si>
  <si>
    <t>60303924652.17109</t>
  </si>
  <si>
    <t>3443.9</t>
  </si>
  <si>
    <t>5955112627.0</t>
  </si>
  <si>
    <t>65.434306634</t>
  </si>
  <si>
    <t>2602593777.639727</t>
  </si>
  <si>
    <t>1479064486.4364934</t>
  </si>
  <si>
    <t>60735178272.73938</t>
  </si>
  <si>
    <t>3468.87</t>
  </si>
  <si>
    <t>5897159493.0</t>
  </si>
  <si>
    <t>68.7999718998</t>
  </si>
  <si>
    <t>3053109097.768854</t>
  </si>
  <si>
    <t>1599639969.911897</t>
  </si>
  <si>
    <t>62749372515.11013</t>
  </si>
  <si>
    <t>3584.28</t>
  </si>
  <si>
    <t>6908930483.0</t>
  </si>
  <si>
    <t>95.30743891200001</t>
  </si>
  <si>
    <t>1514914141.0181987</t>
  </si>
  <si>
    <t>813839695.771831</t>
  </si>
  <si>
    <t>63099976994.86775</t>
  </si>
  <si>
    <t>3604.69</t>
  </si>
  <si>
    <t>5570752966.0</t>
  </si>
  <si>
    <t>50.4071919282</t>
  </si>
  <si>
    <t>1765710281.8607855</t>
  </si>
  <si>
    <t>928188398.2644602</t>
  </si>
  <si>
    <t>63006939950.780945</t>
  </si>
  <si>
    <t>3599.72</t>
  </si>
  <si>
    <t>5098183235.0</t>
  </si>
  <si>
    <t>55.9728742156</t>
  </si>
  <si>
    <t>2409407402.7483644</t>
  </si>
  <si>
    <t>1357770002.4041297</t>
  </si>
  <si>
    <t>63134346515.09961</t>
  </si>
  <si>
    <t>3607.39</t>
  </si>
  <si>
    <t>5265847539.0</t>
  </si>
  <si>
    <t>79.2919833777</t>
  </si>
  <si>
    <t>2342902577.6032467</t>
  </si>
  <si>
    <t>1439302669.8227165</t>
  </si>
  <si>
    <t>62727596280.90267</t>
  </si>
  <si>
    <t>3584.5</t>
  </si>
  <si>
    <t>5262869046.0</t>
  </si>
  <si>
    <t>73.58939070500001</t>
  </si>
  <si>
    <t>2462429216.668738</t>
  </si>
  <si>
    <t>1363115114.8713143</t>
  </si>
  <si>
    <t>63089014300.18307</t>
  </si>
  <si>
    <t>3605.56</t>
  </si>
  <si>
    <t>5433755649.0</t>
  </si>
  <si>
    <t>85.0500044492</t>
  </si>
  <si>
    <t>2465707443.3847733</t>
  </si>
  <si>
    <t>1501307210.739881</t>
  </si>
  <si>
    <t>62549012271.04237</t>
  </si>
  <si>
    <t>3575.08</t>
  </si>
  <si>
    <t>5313623556.0</t>
  </si>
  <si>
    <t>81.9067273368</t>
  </si>
  <si>
    <t>2131453313.6031508</t>
  </si>
  <si>
    <t>1258152960.7865405</t>
  </si>
  <si>
    <t>62985679022.535164</t>
  </si>
  <si>
    <t>3600.37</t>
  </si>
  <si>
    <t>5004347059.0</t>
  </si>
  <si>
    <t>54.9618442757</t>
  </si>
  <si>
    <t>1758188142.653878</t>
  </si>
  <si>
    <t>846937624.2068353</t>
  </si>
  <si>
    <t>65166891871.27438</t>
  </si>
  <si>
    <t>3725.45</t>
  </si>
  <si>
    <t>5582489560.0</t>
  </si>
  <si>
    <t>29.890216712500003</t>
  </si>
  <si>
    <t>1597414274.471306</t>
  </si>
  <si>
    <t>891298523.818354</t>
  </si>
  <si>
    <t>63881511657.83623</t>
  </si>
  <si>
    <t>3652.38</t>
  </si>
  <si>
    <t>5955691380.0</t>
  </si>
  <si>
    <t>52.06964413680001</t>
  </si>
  <si>
    <t>2303294721.909309</t>
  </si>
  <si>
    <t>1477287723.404248</t>
  </si>
  <si>
    <t>64323389863.117935</t>
  </si>
  <si>
    <t>3677.99</t>
  </si>
  <si>
    <t>5002961727.0</t>
  </si>
  <si>
    <t>78.91877854959999</t>
  </si>
  <si>
    <t>2406477930.9846296</t>
  </si>
  <si>
    <t>1446541065.8781757</t>
  </si>
  <si>
    <t>63860319720.48487</t>
  </si>
  <si>
    <t>3651.87</t>
  </si>
  <si>
    <t>5464420383.0</t>
  </si>
  <si>
    <t>83.75636882399999</t>
  </si>
  <si>
    <t>2749510106.967491</t>
  </si>
  <si>
    <t>1557678381.491851</t>
  </si>
  <si>
    <t>63498441638.60886</t>
  </si>
  <si>
    <t>3631.51</t>
  </si>
  <si>
    <t>5394457145.0</t>
  </si>
  <si>
    <t>91.1608150223</t>
  </si>
  <si>
    <t>3508926252.300319</t>
  </si>
  <si>
    <t>2304321606.660395</t>
  </si>
  <si>
    <t>64763571242.87653</t>
  </si>
  <si>
    <t>3704.22</t>
  </si>
  <si>
    <t>5537192302.0</t>
  </si>
  <si>
    <t>79.46663165999999</t>
  </si>
  <si>
    <t>2429771521.9614673</t>
  </si>
  <si>
    <t>1373111083.5357497</t>
  </si>
  <si>
    <t>62189329098.20792</t>
  </si>
  <si>
    <t>3557.31</t>
  </si>
  <si>
    <t>5651384490.0</t>
  </si>
  <si>
    <t>51.2260821813</t>
  </si>
  <si>
    <t>1830568206.038689</t>
  </si>
  <si>
    <t>926095992.8384389</t>
  </si>
  <si>
    <t>63957969972.60636</t>
  </si>
  <si>
    <t>3658.87</t>
  </si>
  <si>
    <t>4681302466.0</t>
  </si>
  <si>
    <t>33.0661594962</t>
  </si>
  <si>
    <t>1961361918.135945</t>
  </si>
  <si>
    <t>1000886212.1745318</t>
  </si>
  <si>
    <t>64442814740.03975</t>
  </si>
  <si>
    <t>3686.97</t>
  </si>
  <si>
    <t>4778170883.0</t>
  </si>
  <si>
    <t>53.3706604956</t>
  </si>
  <si>
    <t>3325068113.4290204</t>
  </si>
  <si>
    <t>2123800507.9573617</t>
  </si>
  <si>
    <t>64209986296.4336</t>
  </si>
  <si>
    <t>3674.02</t>
  </si>
  <si>
    <t>5538712865.0</t>
  </si>
  <si>
    <t>67.88497776060001</t>
  </si>
  <si>
    <t>3387830325.0797763</t>
  </si>
  <si>
    <t>1806246397.0554128</t>
  </si>
  <si>
    <t>70501101878.97731</t>
  </si>
  <si>
    <t>4034.41</t>
  </si>
  <si>
    <t>6874143796.0</t>
  </si>
  <si>
    <t>71.015702025</t>
  </si>
  <si>
    <t>2888254608.431723</t>
  </si>
  <si>
    <t>1575073807.3690572</t>
  </si>
  <si>
    <t>70443209767.95566</t>
  </si>
  <si>
    <t>4031.55</t>
  </si>
  <si>
    <t>5115905225.0</t>
  </si>
  <si>
    <t>60.619353372000006</t>
  </si>
  <si>
    <t>2748920924.1744084</t>
  </si>
  <si>
    <t>1466038251.7575417</t>
  </si>
  <si>
    <t>70381163013.63815</t>
  </si>
  <si>
    <t>4028.47</t>
  </si>
  <si>
    <t>5306593305.0</t>
  </si>
  <si>
    <t>65.9681702003</t>
  </si>
  <si>
    <t>3012310951.895286</t>
  </si>
  <si>
    <t>1654969930.588228</t>
  </si>
  <si>
    <t>71248091615.55983</t>
  </si>
  <si>
    <t>4078.59</t>
  </si>
  <si>
    <t>5228625637.0</t>
  </si>
  <si>
    <t>91.420371273</t>
  </si>
  <si>
    <t>2017353745.2940454</t>
  </si>
  <si>
    <t>1053298020.5196353</t>
  </si>
  <si>
    <t>67012776834.28507</t>
  </si>
  <si>
    <t>3836.52</t>
  </si>
  <si>
    <t>5597027440.0</t>
  </si>
  <si>
    <t>56.8069296228</t>
  </si>
  <si>
    <t>2039152891.1748521</t>
  </si>
  <si>
    <t>1059765690.7861482</t>
  </si>
  <si>
    <t>67275985975.853455</t>
  </si>
  <si>
    <t>3851.97</t>
  </si>
  <si>
    <t>5137609824.0</t>
  </si>
  <si>
    <t>56.0502080685</t>
  </si>
  <si>
    <t>2810816255.4230046</t>
  </si>
  <si>
    <t>1592620606.9650528</t>
  </si>
  <si>
    <t>66919877208.64655</t>
  </si>
  <si>
    <t>3832.04</t>
  </si>
  <si>
    <t>4847965467.0</t>
  </si>
  <si>
    <t>79.7929977836</t>
  </si>
  <si>
    <t>2779411253.0398617</t>
  </si>
  <si>
    <t>1556148689.6862316</t>
  </si>
  <si>
    <t>68641707234.71962</t>
  </si>
  <si>
    <t>3931.05</t>
  </si>
  <si>
    <t>4530215219.0</t>
  </si>
  <si>
    <t>85.05719023350001</t>
  </si>
  <si>
    <t>2487460410.409279</t>
  </si>
  <si>
    <t>1381074286.6598594</t>
  </si>
  <si>
    <t>67205349058.289406</t>
  </si>
  <si>
    <t>3849.22</t>
  </si>
  <si>
    <t>5244856836.0</t>
  </si>
  <si>
    <t>76.9007949416</t>
  </si>
  <si>
    <t>1421421927.747529</t>
  </si>
  <si>
    <t>727124358.7485243</t>
  </si>
  <si>
    <t>65408563939.38226</t>
  </si>
  <si>
    <t>3746.71</t>
  </si>
  <si>
    <t>4324200990.0</t>
  </si>
  <si>
    <t>31.181806639500003</t>
  </si>
  <si>
    <t>2033378717.6646156</t>
  </si>
  <si>
    <t>1266467754.4207683</t>
  </si>
  <si>
    <t>67498451439.90188</t>
  </si>
  <si>
    <t>3866.84</t>
  </si>
  <si>
    <t>4661840806.0</t>
  </si>
  <si>
    <t>60.8277906408</t>
  </si>
  <si>
    <t>1552805205.8286848</t>
  </si>
  <si>
    <t>907723946.5818745</t>
  </si>
  <si>
    <t>66715050820.54043</t>
  </si>
  <si>
    <t>3822.38</t>
  </si>
  <si>
    <t>4770578575.0</t>
  </si>
  <si>
    <t>51.0132159134</t>
  </si>
  <si>
    <t>2700809176.3898706</t>
  </si>
  <si>
    <t>1430257736.0722678</t>
  </si>
  <si>
    <t>68628218811.30387</t>
  </si>
  <si>
    <t>3932.49</t>
  </si>
  <si>
    <t>4991655917.0</t>
  </si>
  <si>
    <t>79.6943873187</t>
  </si>
  <si>
    <t>2913482332.3943048</t>
  </si>
  <si>
    <t>1622344094.3068812</t>
  </si>
  <si>
    <t>63746591530.83981</t>
  </si>
  <si>
    <t>3653.13</t>
  </si>
  <si>
    <t>5631554348.0</t>
  </si>
  <si>
    <t>71.36429639430001</t>
  </si>
  <si>
    <t>2797136914.1451073</t>
  </si>
  <si>
    <t>1604903730.4355652</t>
  </si>
  <si>
    <t>67255875186.98646</t>
  </si>
  <si>
    <t>3854.69</t>
  </si>
  <si>
    <t>5130222366.0</t>
  </si>
  <si>
    <t>60.15008608910001</t>
  </si>
  <si>
    <t>2400609268.4320517</t>
  </si>
  <si>
    <t>1314250553.940582</t>
  </si>
  <si>
    <t>66636342448.3127</t>
  </si>
  <si>
    <t>3819.67</t>
  </si>
  <si>
    <t>5326547918.0</t>
  </si>
  <si>
    <t>50.951151080500004</t>
  </si>
  <si>
    <t>2192907372.7989426</t>
  </si>
  <si>
    <t>1215798783.6047604</t>
  </si>
  <si>
    <t>71188017281.11649</t>
  </si>
  <si>
    <t>4081.03</t>
  </si>
  <si>
    <t>6158207293.0</t>
  </si>
  <si>
    <t>43.03413486760001</t>
  </si>
  <si>
    <t>2750730821.05272</t>
  </si>
  <si>
    <t>1596244156.066335</t>
  </si>
  <si>
    <t>69772389973.77393</t>
  </si>
  <si>
    <t>4000.33</t>
  </si>
  <si>
    <t>7240968501.0</t>
  </si>
  <si>
    <t>75.0732330308</t>
  </si>
  <si>
    <t>1785125965.9440997</t>
  </si>
  <si>
    <t>1068419758.5641562</t>
  </si>
  <si>
    <t>70125066347.31425</t>
  </si>
  <si>
    <t>4020.99</t>
  </si>
  <si>
    <t>6151275490.0</t>
  </si>
  <si>
    <t>52.1801459706</t>
  </si>
  <si>
    <t>1937020368.8872797</t>
  </si>
  <si>
    <t>1034926520.260993</t>
  </si>
  <si>
    <t>67973007472.15462</t>
  </si>
  <si>
    <t>3898.08</t>
  </si>
  <si>
    <t>5605823233.0</t>
  </si>
  <si>
    <t>71.9333752032</t>
  </si>
  <si>
    <t>3687550543.625947</t>
  </si>
  <si>
    <t>2063165012.9722977</t>
  </si>
  <si>
    <t>72072624651.38135</t>
  </si>
  <si>
    <t>4133.7</t>
  </si>
  <si>
    <t>7206015706.0</t>
  </si>
  <si>
    <t>127.634436072</t>
  </si>
  <si>
    <t>3347240926.7010565</t>
  </si>
  <si>
    <t>1924418193.6684182</t>
  </si>
  <si>
    <t>65240081810.31439</t>
  </si>
  <si>
    <t>3742.2</t>
  </si>
  <si>
    <t>8927129279.0</t>
  </si>
  <si>
    <t>120.82871493</t>
  </si>
  <si>
    <t>3870951779.340748</t>
  </si>
  <si>
    <t>2094009380.3627365</t>
  </si>
  <si>
    <t>64617021420.49246</t>
  </si>
  <si>
    <t>3706.82</t>
  </si>
  <si>
    <t>6810689119.0</t>
  </si>
  <si>
    <t>115.3490471692</t>
  </si>
  <si>
    <t>3317923738.436068</t>
  </si>
  <si>
    <t>1928633369.2070165</t>
  </si>
  <si>
    <t>61785418075.86261</t>
  </si>
  <si>
    <t>3544.76</t>
  </si>
  <si>
    <t>5911325473.0</t>
  </si>
  <si>
    <t>137.815128898</t>
  </si>
  <si>
    <t>2621840109.346757</t>
  </si>
  <si>
    <t>1412176242.1974647</t>
  </si>
  <si>
    <t>56696915384.14191</t>
  </si>
  <si>
    <t>3253.12</t>
  </si>
  <si>
    <t>5409247918.0</t>
  </si>
  <si>
    <t>89.8226770688</t>
  </si>
  <si>
    <t>1805117142.5923047</t>
  </si>
  <si>
    <t>867107708.0475806</t>
  </si>
  <si>
    <t>56396680453.96573</t>
  </si>
  <si>
    <t>3236.27</t>
  </si>
  <si>
    <t>3744248994.0</t>
  </si>
  <si>
    <t>69.46517631660001</t>
  </si>
  <si>
    <t>1704903333.9616685</t>
  </si>
  <si>
    <t>894965064.7957199</t>
  </si>
  <si>
    <t>56526848756.99774</t>
  </si>
  <si>
    <t>3244.0</t>
  </si>
  <si>
    <t>3551763561.0</t>
  </si>
  <si>
    <t>69.78940472000001</t>
  </si>
  <si>
    <t>2561855480.8529487</t>
  </si>
  <si>
    <t>1380891946.4663005</t>
  </si>
  <si>
    <t>57701284562.038864</t>
  </si>
  <si>
    <t>3311.75</t>
  </si>
  <si>
    <t>4372763663.0</t>
  </si>
  <si>
    <t>105.601706015</t>
  </si>
  <si>
    <t>2700954006.8606715</t>
  </si>
  <si>
    <t>1542874843.4853551</t>
  </si>
  <si>
    <t>60763482609.91469</t>
  </si>
  <si>
    <t>3487.88</t>
  </si>
  <si>
    <t>4343372456.0</t>
  </si>
  <si>
    <t>104.44993793520001</t>
  </si>
  <si>
    <t>2468473120.0392404</t>
  </si>
  <si>
    <t>1476809393.7601008</t>
  </si>
  <si>
    <t>59600809225.83977</t>
  </si>
  <si>
    <t>3421.46</t>
  </si>
  <si>
    <t>4139364828.9999995</t>
  </si>
  <si>
    <t>108.3772773804</t>
  </si>
  <si>
    <t>2717321815.826368</t>
  </si>
  <si>
    <t>1549683869.0424507</t>
  </si>
  <si>
    <t>60921033135.14905</t>
  </si>
  <si>
    <t>3497.55</t>
  </si>
  <si>
    <t>4696765188.0</t>
  </si>
  <si>
    <t>124.57640043450002</t>
  </si>
  <si>
    <t>2445502643.241463</t>
  </si>
  <si>
    <t>1404935248.244241</t>
  </si>
  <si>
    <t>62909648412.715805</t>
  </si>
  <si>
    <t>3612.05</t>
  </si>
  <si>
    <t>5020968740.0</t>
  </si>
  <si>
    <t>116.88077276850002</t>
  </si>
  <si>
    <t>1411352430.731948</t>
  </si>
  <si>
    <t>829762169.5618815</t>
  </si>
  <si>
    <t>60486632450.05366</t>
  </si>
  <si>
    <t>3473.23</t>
  </si>
  <si>
    <t>4947372847.0</t>
  </si>
  <si>
    <t>60.5852180404</t>
  </si>
  <si>
    <t>1820629973.3118165</t>
  </si>
  <si>
    <t>1032259769.0100619</t>
  </si>
  <si>
    <t>59587466116.54081</t>
  </si>
  <si>
    <t>3421.91</t>
  </si>
  <si>
    <t>5305024497.0</t>
  </si>
  <si>
    <t>85.6161882</t>
  </si>
  <si>
    <t>3245897567.3790655</t>
  </si>
  <si>
    <t>1954237523.6615398</t>
  </si>
  <si>
    <t>61160857904.181656</t>
  </si>
  <si>
    <t>3512.59</t>
  </si>
  <si>
    <t>6835615448.0</t>
  </si>
  <si>
    <t>186.6640556037</t>
  </si>
  <si>
    <t>4586018866.500122</t>
  </si>
  <si>
    <t>2156520656.582872</t>
  </si>
  <si>
    <t>65360080030.27962</t>
  </si>
  <si>
    <t>3754.07</t>
  </si>
  <si>
    <t>5878333109.0</t>
  </si>
  <si>
    <t>135.7135347328</t>
  </si>
  <si>
    <t>5179727886.154078</t>
  </si>
  <si>
    <t>2337973838.9236894</t>
  </si>
  <si>
    <t>68919561378.59372</t>
  </si>
  <si>
    <t>3958.89</t>
  </si>
  <si>
    <t>5302481574.0</t>
  </si>
  <si>
    <t>116.8421648043</t>
  </si>
  <si>
    <t>7038744245.307139</t>
  </si>
  <si>
    <t>2780760494.6360292</t>
  </si>
  <si>
    <t>67649345768.91052</t>
  </si>
  <si>
    <t>3886.29</t>
  </si>
  <si>
    <t>5028069239.0</t>
  </si>
  <si>
    <t>137.6383622931</t>
  </si>
  <si>
    <t>4441679971.337658</t>
  </si>
  <si>
    <t>2050101388.8349905</t>
  </si>
  <si>
    <t>72185933790.35738</t>
  </si>
  <si>
    <t>4147.32</t>
  </si>
  <si>
    <t>5089570994.0</t>
  </si>
  <si>
    <t>147.870413574</t>
  </si>
  <si>
    <t>2807543085.2328215</t>
  </si>
  <si>
    <t>1000684211.071917</t>
  </si>
  <si>
    <t>73109521140.97011</t>
  </si>
  <si>
    <t>4200.73</t>
  </si>
  <si>
    <t>5262697895.0</t>
  </si>
  <si>
    <t>83.77902306159999</t>
  </si>
  <si>
    <t>3769600669.590438</t>
  </si>
  <si>
    <t>1233827846.9334943</t>
  </si>
  <si>
    <t>70036047378.54726</t>
  </si>
  <si>
    <t>4024.46</t>
  </si>
  <si>
    <t>5375314093.0</t>
  </si>
  <si>
    <t>93.4778629378</t>
  </si>
  <si>
    <t>6081828947.871502</t>
  </si>
  <si>
    <t>2894239024.0526414</t>
  </si>
  <si>
    <t>74634585121.72806</t>
  </si>
  <si>
    <t>4289.09</t>
  </si>
  <si>
    <t>6048016717.0</t>
  </si>
  <si>
    <t>166.6379661531</t>
  </si>
  <si>
    <t>3486701751.0677404</t>
  </si>
  <si>
    <t>2087772597.926647</t>
  </si>
  <si>
    <t>74279629167.03389</t>
  </si>
  <si>
    <t>4269.0</t>
  </si>
  <si>
    <t>6503347767.0</t>
  </si>
  <si>
    <t>172.07852334</t>
  </si>
  <si>
    <t>3602991209.571104</t>
  </si>
  <si>
    <t>2218612492.070556</t>
  </si>
  <si>
    <t>66505099041.10408</t>
  </si>
  <si>
    <t>3822.47</t>
  </si>
  <si>
    <t>7280280000.0</t>
  </si>
  <si>
    <t>135.3726221512</t>
  </si>
  <si>
    <t>3190356824.162655</t>
  </si>
  <si>
    <t>1922342171.6606796</t>
  </si>
  <si>
    <t>65516138001.25</t>
  </si>
  <si>
    <t>3765.95</t>
  </si>
  <si>
    <t>5998720000.0</t>
  </si>
  <si>
    <t>108.3051443475</t>
  </si>
  <si>
    <t>3092381613.9109173</t>
  </si>
  <si>
    <t>1890301295.1921856</t>
  </si>
  <si>
    <t>69843547925.0312</t>
  </si>
  <si>
    <t>4015.07</t>
  </si>
  <si>
    <t>6476900000.0</t>
  </si>
  <si>
    <t>145.29217371970003</t>
  </si>
  <si>
    <t>2321203553.6700273</t>
  </si>
  <si>
    <t>1413418439.6427498</t>
  </si>
  <si>
    <t>67502139850.22451</t>
  </si>
  <si>
    <t>3880.78</t>
  </si>
  <si>
    <t>6825640000.0</t>
  </si>
  <si>
    <t>98.60821371640002</t>
  </si>
  <si>
    <t>2173736564.186973</t>
  </si>
  <si>
    <t>1241664688.832668</t>
  </si>
  <si>
    <t>75616654863.75</t>
  </si>
  <si>
    <t>4347.69</t>
  </si>
  <si>
    <t>4679500000.0</t>
  </si>
  <si>
    <t>76.9652430864</t>
  </si>
  <si>
    <t>2926664361.9593377</t>
  </si>
  <si>
    <t>1775613551.6754541</t>
  </si>
  <si>
    <t>75835189420.0</t>
  </si>
  <si>
    <t>4360.7</t>
  </si>
  <si>
    <t>4871490000.0</t>
  </si>
  <si>
    <t>87.954359646</t>
  </si>
  <si>
    <t>2759416100.954157</t>
  </si>
  <si>
    <t>1711483518.2281744</t>
  </si>
  <si>
    <t>80190706019.77812</t>
  </si>
  <si>
    <t>4611.57</t>
  </si>
  <si>
    <t>4569370000.0</t>
  </si>
  <si>
    <t>104.88324229499999</t>
  </si>
  <si>
    <t>3406310686.41319</t>
  </si>
  <si>
    <t>2220358360.997932</t>
  </si>
  <si>
    <t>77644518698.18376</t>
  </si>
  <si>
    <t>4465.54</t>
  </si>
  <si>
    <t>6120120000.0</t>
  </si>
  <si>
    <t>161.6737146596</t>
  </si>
  <si>
    <t>5838061759.729139</t>
  </si>
  <si>
    <t>3944651538.9598675</t>
  </si>
  <si>
    <t>84565196535.2487</t>
  </si>
  <si>
    <t>4863.93</t>
  </si>
  <si>
    <t>8428290000.0</t>
  </si>
  <si>
    <t>260.9452724058</t>
  </si>
  <si>
    <t>4480410392.496019</t>
  </si>
  <si>
    <t>2620049441.6388183</t>
  </si>
  <si>
    <t>97714590429.21153</t>
  </si>
  <si>
    <t>5620.78</t>
  </si>
  <si>
    <t>7039560000.0</t>
  </si>
  <si>
    <t>151.59243659999998</t>
  </si>
  <si>
    <t>1976556845.6855085</t>
  </si>
  <si>
    <t>1304067008.2814872</t>
  </si>
  <si>
    <t>96644682433.0</t>
  </si>
  <si>
    <t>5559.74</t>
  </si>
  <si>
    <t>4159679999.9999995</t>
  </si>
  <si>
    <t>78.226097774</t>
  </si>
  <si>
    <t>2532806038.326575</t>
  </si>
  <si>
    <t>1388807129.0729506</t>
  </si>
  <si>
    <t>96963597355.00017</t>
  </si>
  <si>
    <t>5578.58</t>
  </si>
  <si>
    <t>4303150000.0</t>
  </si>
  <si>
    <t>87.36787073980001</t>
  </si>
  <si>
    <t>4717042290.475221</t>
  </si>
  <si>
    <t>2790334900.252403</t>
  </si>
  <si>
    <t>98113403472.0</t>
  </si>
  <si>
    <t>5645.32</t>
  </si>
  <si>
    <t>5279320000.0</t>
  </si>
  <si>
    <t>146.77261822679998</t>
  </si>
  <si>
    <t>8335464562.229226</t>
  </si>
  <si>
    <t>4829948173.464276</t>
  </si>
  <si>
    <t>99682958104.00389</t>
  </si>
  <si>
    <t>5736.15</t>
  </si>
  <si>
    <t>7032140000.0</t>
  </si>
  <si>
    <t>156.322248138</t>
  </si>
  <si>
    <t>5183929714.288292</t>
  </si>
  <si>
    <t>2966572455.0237365</t>
  </si>
  <si>
    <t>110361921731.93533</t>
  </si>
  <si>
    <t>6351.24</t>
  </si>
  <si>
    <t>7398940000.0</t>
  </si>
  <si>
    <t>168.0977609808</t>
  </si>
  <si>
    <t>3664042153.2024546</t>
  </si>
  <si>
    <t>2304432049.602351</t>
  </si>
  <si>
    <t>110732500100.89972</t>
  </si>
  <si>
    <t>6373.19</t>
  </si>
  <si>
    <t>4503800000.0</t>
  </si>
  <si>
    <t>137.4023436817</t>
  </si>
  <si>
    <t>3720587601.1638255</t>
  </si>
  <si>
    <t>2321094600.953958</t>
  </si>
  <si>
    <t>111393109420.50317</t>
  </si>
  <si>
    <t>6411.76</t>
  </si>
  <si>
    <t>4295770000.0</t>
  </si>
  <si>
    <t>113.45442614240001</t>
  </si>
  <si>
    <t>2360765658.822344</t>
  </si>
  <si>
    <t>1231231645.4460075</t>
  </si>
  <si>
    <t>111414450508.3199</t>
  </si>
  <si>
    <t>6413.63</t>
  </si>
  <si>
    <t>3939060000.0000005</t>
  </si>
  <si>
    <t>101.84844440000002</t>
  </si>
  <si>
    <t>2497261374.894089</t>
  </si>
  <si>
    <t>1297743971.112145</t>
  </si>
  <si>
    <t>110925079241.1705</t>
  </si>
  <si>
    <t>6386.13</t>
  </si>
  <si>
    <t>3705320000.0</t>
  </si>
  <si>
    <t>127.9028165886</t>
  </si>
  <si>
    <t>3734951007.4877186</t>
  </si>
  <si>
    <t>2332814537.2736015</t>
  </si>
  <si>
    <t>111895398930.0</t>
  </si>
  <si>
    <t>6442.6</t>
  </si>
  <si>
    <t>4346820000.0</t>
  </si>
  <si>
    <t>139.86420732800002</t>
  </si>
  <si>
    <t>3559035050.8662977</t>
  </si>
  <si>
    <t>2098786413.8796818</t>
  </si>
  <si>
    <t>113268838898.25</t>
  </si>
  <si>
    <t>6522.27</t>
  </si>
  <si>
    <t>4665260000.0</t>
  </si>
  <si>
    <t>142.6830699783</t>
  </si>
  <si>
    <t>3758083220.121383</t>
  </si>
  <si>
    <t>2236207417.0060315</t>
  </si>
  <si>
    <t>112325256697.31697</t>
  </si>
  <si>
    <t>6468.5</t>
  </si>
  <si>
    <t>4941260000.0</t>
  </si>
  <si>
    <t>133.292304345</t>
  </si>
  <si>
    <t>3810294231.8630776</t>
  </si>
  <si>
    <t>2295581450.6328516</t>
  </si>
  <si>
    <t>111616235761.96956</t>
  </si>
  <si>
    <t>6433.38</t>
  </si>
  <si>
    <t>4700040000.0</t>
  </si>
  <si>
    <t>159.1018620984</t>
  </si>
  <si>
    <t>3787437046.0137243</t>
  </si>
  <si>
    <t>2215031068.8173676</t>
  </si>
  <si>
    <t>110483261354.0</t>
  </si>
  <si>
    <t>6363.62</t>
  </si>
  <si>
    <t>4174800000.0</t>
  </si>
  <si>
    <t>136.727466596</t>
  </si>
  <si>
    <t>2524291740.9922833</t>
  </si>
  <si>
    <t>1369477168.9124832</t>
  </si>
  <si>
    <t>110504158175.57968</t>
  </si>
  <si>
    <t>6365.47</t>
  </si>
  <si>
    <t>4390020000.0</t>
  </si>
  <si>
    <t>122.14063836000001</t>
  </si>
  <si>
    <t>2276494558.330411</t>
  </si>
  <si>
    <t>1380293308.6203017</t>
  </si>
  <si>
    <t>110872183782.26154</t>
  </si>
  <si>
    <t>6387.24</t>
  </si>
  <si>
    <t>3658640000.0</t>
  </si>
  <si>
    <t>112.0790719416</t>
  </si>
  <si>
    <t>4239503680.0004253</t>
  </si>
  <si>
    <t>2624015940.558106</t>
  </si>
  <si>
    <t>110715004161.76042</t>
  </si>
  <si>
    <t>6378.92</t>
  </si>
  <si>
    <t>4234870000.0000005</t>
  </si>
  <si>
    <t>130.8574200368</t>
  </si>
  <si>
    <t>3602225446.9564524</t>
  </si>
  <si>
    <t>2094116252.0893168</t>
  </si>
  <si>
    <t>109648792444.0</t>
  </si>
  <si>
    <t>6318.14</t>
  </si>
  <si>
    <t>3789400000.0000005</t>
  </si>
  <si>
    <t>116.65510425280002</t>
  </si>
  <si>
    <t>3665794869.9398227</t>
  </si>
  <si>
    <t>2303247672.297336</t>
  </si>
  <si>
    <t>109963411098.49924</t>
  </si>
  <si>
    <t>6336.99</t>
  </si>
  <si>
    <t>4191240000.0000005</t>
  </si>
  <si>
    <t>118.4295346839</t>
  </si>
  <si>
    <t>3570155643.0965877</t>
  </si>
  <si>
    <t>1988669275.4557562</t>
  </si>
  <si>
    <t>109951604650.25009</t>
  </si>
  <si>
    <t>6337.04</t>
  </si>
  <si>
    <t>3781099999.9999995</t>
  </si>
  <si>
    <t>130.6229974448</t>
  </si>
  <si>
    <t>3866593293.866204</t>
  </si>
  <si>
    <t>2380527187.085785</t>
  </si>
  <si>
    <t>112633832445.0</t>
  </si>
  <si>
    <t>6492.35</t>
  </si>
  <si>
    <t>4199910000.0</t>
  </si>
  <si>
    <t>148.00902450750002</t>
  </si>
  <si>
    <t>2142271738.463226</t>
  </si>
  <si>
    <t>1372588214.4210184</t>
  </si>
  <si>
    <t>112453730621.49971</t>
  </si>
  <si>
    <t>6482.66</t>
  </si>
  <si>
    <t>3445190000.0000005</t>
  </si>
  <si>
    <t>122.7607710614</t>
  </si>
  <si>
    <t>2539737139.1807275</t>
  </si>
  <si>
    <t>1358231438.1983757</t>
  </si>
  <si>
    <t>112410979905.50003</t>
  </si>
  <si>
    <t>6480.84</t>
  </si>
  <si>
    <t>3393250000.0</t>
  </si>
  <si>
    <t>128.6151213696</t>
  </si>
  <si>
    <t>3936464480.588236</t>
  </si>
  <si>
    <t>2582398432.1305914</t>
  </si>
  <si>
    <t>112184904007.24976</t>
  </si>
  <si>
    <t>6468.44</t>
  </si>
  <si>
    <t>3306050000.0</t>
  </si>
  <si>
    <t>157.7876970868</t>
  </si>
  <si>
    <t>4830514325.4695635</t>
  </si>
  <si>
    <t>2227300000.509897</t>
  </si>
  <si>
    <t>112454530671.99936</t>
  </si>
  <si>
    <t>6484.65</t>
  </si>
  <si>
    <t>3230550000.0</t>
  </si>
  <si>
    <t>146.492393676</t>
  </si>
  <si>
    <t>4987617839.921582</t>
  </si>
  <si>
    <t>2333511696.832086</t>
  </si>
  <si>
    <t>112343382457.60022</t>
  </si>
  <si>
    <t>6478.89</t>
  </si>
  <si>
    <t>3424670000.0</t>
  </si>
  <si>
    <t>157.3931001258</t>
  </si>
  <si>
    <t>4520472031.392312</t>
  </si>
  <si>
    <t>2201976559.189534</t>
  </si>
  <si>
    <t>112221175669.49973</t>
  </si>
  <si>
    <t>6472.36</t>
  </si>
  <si>
    <t>3716150000.0</t>
  </si>
  <si>
    <t>167.0035219652</t>
  </si>
  <si>
    <t>3809554580.0273924</t>
  </si>
  <si>
    <t>2166296382.583453</t>
  </si>
  <si>
    <t>112445970111.42998</t>
  </si>
  <si>
    <t>6486.05</t>
  </si>
  <si>
    <t>3672860000.0000005</t>
  </si>
  <si>
    <t>160.77743974950002</t>
  </si>
  <si>
    <t>2300247565.110977</t>
  </si>
  <si>
    <t>1140008850.0842054</t>
  </si>
  <si>
    <t>112503276366.50029</t>
  </si>
  <si>
    <t>6490.09</t>
  </si>
  <si>
    <t>3253610000.0</t>
  </si>
  <si>
    <t>117.3574418304</t>
  </si>
  <si>
    <t>3120265075.394334</t>
  </si>
  <si>
    <t>1729108904.5549579</t>
  </si>
  <si>
    <t>111986557798.76123</t>
  </si>
  <si>
    <t>6460.92</t>
  </si>
  <si>
    <t>3379130000.0</t>
  </si>
  <si>
    <t>126.76421953799999</t>
  </si>
  <si>
    <t>4452530269.921359</t>
  </si>
  <si>
    <t>2270784010.6630974</t>
  </si>
  <si>
    <t>112272402881.00096</t>
  </si>
  <si>
    <t>6478.07</t>
  </si>
  <si>
    <t>3578870000.0000005</t>
  </si>
  <si>
    <t>149.59768182579998</t>
  </si>
  <si>
    <t>4679599951.472383</t>
  </si>
  <si>
    <t>2477797792.9943323</t>
  </si>
  <si>
    <t>113374404893.43979</t>
  </si>
  <si>
    <t>6542.33</t>
  </si>
  <si>
    <t>3924079999.9999995</t>
  </si>
  <si>
    <t>165.537304825</t>
  </si>
  <si>
    <t>4446638004.546545</t>
  </si>
  <si>
    <t>2239410172.303111</t>
  </si>
  <si>
    <t>114197973438.07887</t>
  </si>
  <si>
    <t>6590.52</t>
  </si>
  <si>
    <t>4088420000.0</t>
  </si>
  <si>
    <t>185.01619520160003</t>
  </si>
  <si>
    <t>4373731516.824928</t>
  </si>
  <si>
    <t>2424903577.3105245</t>
  </si>
  <si>
    <t>114375534554.5002</t>
  </si>
  <si>
    <t>6601.41</t>
  </si>
  <si>
    <t>4074800000.0</t>
  </si>
  <si>
    <t>169.961882283</t>
  </si>
  <si>
    <t>5907321264.709075</t>
  </si>
  <si>
    <t>3342050748.0318823</t>
  </si>
  <si>
    <t>109015186715.69908</t>
  </si>
  <si>
    <t>6292.64</t>
  </si>
  <si>
    <t>7370770000.0</t>
  </si>
  <si>
    <t>163.02373911200002</t>
  </si>
  <si>
    <t>2729399780.687724</t>
  </si>
  <si>
    <t>1514087981.187476</t>
  </si>
  <si>
    <t>108930324265.9999</t>
  </si>
  <si>
    <t>6288.49</t>
  </si>
  <si>
    <t>3085320000.0</t>
  </si>
  <si>
    <t>135.3179287915</t>
  </si>
  <si>
    <t>2686031468.2200203</t>
  </si>
  <si>
    <t>1464480492.9593601</t>
  </si>
  <si>
    <t>108741129496.58049</t>
  </si>
  <si>
    <t>6278.08</t>
  </si>
  <si>
    <t>3064030000.0</t>
  </si>
  <si>
    <t>139.5118704448</t>
  </si>
  <si>
    <t>4388868513.889429</t>
  </si>
  <si>
    <t>2443221685.3272643</t>
  </si>
  <si>
    <t>108057645621.03976</t>
  </si>
  <si>
    <t>6239.25</t>
  </si>
  <si>
    <t>3783500000.0</t>
  </si>
  <si>
    <t>168.35193576</t>
  </si>
  <si>
    <t>5247183921.62993</t>
  </si>
  <si>
    <t>2858094847.2153683</t>
  </si>
  <si>
    <t>114064960980.00633</t>
  </si>
  <si>
    <t>6586.74</t>
  </si>
  <si>
    <t>5181640000.0</t>
  </si>
  <si>
    <t>197.56445797979998</t>
  </si>
  <si>
    <t>4675374054.412147</t>
  </si>
  <si>
    <t>2207747475.0569577</t>
  </si>
  <si>
    <t>114979025135.12117</t>
  </si>
  <si>
    <t>6640.29</t>
  </si>
  <si>
    <t>3787650000.0</t>
  </si>
  <si>
    <t>170.37656082</t>
  </si>
  <si>
    <t>3559088725.3268633</t>
  </si>
  <si>
    <t>2082698666.0445952</t>
  </si>
  <si>
    <t>115188513071.28049</t>
  </si>
  <si>
    <t>6653.08</t>
  </si>
  <si>
    <t>3580810000.0000005</t>
  </si>
  <si>
    <t>179.63316</t>
  </si>
  <si>
    <t>3460203705.711544</t>
  </si>
  <si>
    <t>1922593448.4201255</t>
  </si>
  <si>
    <t>114261994265.99803</t>
  </si>
  <si>
    <t>6600.19</t>
  </si>
  <si>
    <t>3979460000.0</t>
  </si>
  <si>
    <t>168.066578141</t>
  </si>
  <si>
    <t>2209576383.1115484</t>
  </si>
  <si>
    <t>1036458504.6269559</t>
  </si>
  <si>
    <t>114086483236.75049</t>
  </si>
  <si>
    <t>6590.68</t>
  </si>
  <si>
    <t>3306630000.0</t>
  </si>
  <si>
    <t>80.69628592000001</t>
  </si>
  <si>
    <t>2748743396.166865</t>
  </si>
  <si>
    <t>1408659700.3169374</t>
  </si>
  <si>
    <t>114624510263.4987</t>
  </si>
  <si>
    <t>6622.45</t>
  </si>
  <si>
    <t>3259740000.0</t>
  </si>
  <si>
    <t>142.5010181815</t>
  </si>
  <si>
    <t>3511070703.8083296</t>
  </si>
  <si>
    <t>1796495298.7201812</t>
  </si>
  <si>
    <t>113778320988.75</t>
  </si>
  <si>
    <t>6574.15</t>
  </si>
  <si>
    <t>3671500000.0000005</t>
  </si>
  <si>
    <t>188.890713011</t>
  </si>
  <si>
    <t>3847994118.0664587</t>
  </si>
  <si>
    <t>1847601504.576024</t>
  </si>
  <si>
    <t>112448035002.63737</t>
  </si>
  <si>
    <t>6497.91</t>
  </si>
  <si>
    <t>3838410000.0</t>
  </si>
  <si>
    <t>167.7808446534</t>
  </si>
  <si>
    <t>3787349114.315708</t>
  </si>
  <si>
    <t>1962649041.2434728</t>
  </si>
  <si>
    <t>113404139770.23935</t>
  </si>
  <si>
    <t>6553.86</t>
  </si>
  <si>
    <t>3887310000.0</t>
  </si>
  <si>
    <t>173.7370612032</t>
  </si>
  <si>
    <t>4369755901.642454</t>
  </si>
  <si>
    <t>2142437458.1457741</t>
  </si>
  <si>
    <t>114073601184.0</t>
  </si>
  <si>
    <t>6593.24</t>
  </si>
  <si>
    <t>3979260000.0000005</t>
  </si>
  <si>
    <t>199.6045389488</t>
  </si>
  <si>
    <t>3868196006.234118</t>
  </si>
  <si>
    <t>1982712569.8098838</t>
  </si>
  <si>
    <t>114522822452.75798</t>
  </si>
  <si>
    <t>6619.85</t>
  </si>
  <si>
    <t>4000970000.0</t>
  </si>
  <si>
    <t>194.2998131365</t>
  </si>
  <si>
    <t>2864249358.332254</t>
  </si>
  <si>
    <t>1285180634.2396824</t>
  </si>
  <si>
    <t>114247857483.54912</t>
  </si>
  <si>
    <t>6604.71</t>
  </si>
  <si>
    <t>4002279999.9999995</t>
  </si>
  <si>
    <t>144.6073514718</t>
  </si>
  <si>
    <t>3092432350.484521</t>
  </si>
  <si>
    <t>1369047941.1197543</t>
  </si>
  <si>
    <t>114898393290.0</t>
  </si>
  <si>
    <t>6643.1</t>
  </si>
  <si>
    <t>4363690000.0</t>
  </si>
  <si>
    <t>149.205022465</t>
  </si>
  <si>
    <t>4821502767.582312</t>
  </si>
  <si>
    <t>2237124453.510319</t>
  </si>
  <si>
    <t>115502302500.0</t>
  </si>
  <si>
    <t>6678.75</t>
  </si>
  <si>
    <t>5014430000.0</t>
  </si>
  <si>
    <t>188.2472475</t>
  </si>
  <si>
    <t>4009015309.5307884</t>
  </si>
  <si>
    <t>2211958428.1185284</t>
  </si>
  <si>
    <t>112317041826.50679</t>
  </si>
  <si>
    <t>6495.29</t>
  </si>
  <si>
    <t>4606810000.0</t>
  </si>
  <si>
    <t>176.68383933360002</t>
  </si>
  <si>
    <t>3825650431.333198</t>
  </si>
  <si>
    <t>1866639521.8512018</t>
  </si>
  <si>
    <t>111570513617.25</t>
  </si>
  <si>
    <t>6452.79</t>
  </si>
  <si>
    <t>4437300000.0</t>
  </si>
  <si>
    <t>168.8851945797</t>
  </si>
  <si>
    <t>4337086137.968394</t>
  </si>
  <si>
    <t>2329189740.0125594</t>
  </si>
  <si>
    <t>114167274474.28049</t>
  </si>
  <si>
    <t>6603.64</t>
  </si>
  <si>
    <t>4726180000.0</t>
  </si>
  <si>
    <t>160.3570485932</t>
  </si>
  <si>
    <t>3103546820.5652943</t>
  </si>
  <si>
    <t>1569110521.941556</t>
  </si>
  <si>
    <t>115901503746.99586</t>
  </si>
  <si>
    <t>6704.77</t>
  </si>
  <si>
    <t>4177309999.9999995</t>
  </si>
  <si>
    <t>159.02360076460002</t>
  </si>
  <si>
    <t>2327891120.0025573</t>
  </si>
  <si>
    <t>1160500291.419311</t>
  </si>
  <si>
    <t>116071452188.74983</t>
  </si>
  <si>
    <t>6715.32</t>
  </si>
  <si>
    <t>4197499999.9999995</t>
  </si>
  <si>
    <t>133.130883234</t>
  </si>
  <si>
    <t>3136789005.2088075</t>
  </si>
  <si>
    <t>1529144403.4577491</t>
  </si>
  <si>
    <t>116399761079.0895</t>
  </si>
  <si>
    <t>6735.05</t>
  </si>
  <si>
    <t>4509660000.0</t>
  </si>
  <si>
    <t>150.1551783795</t>
  </si>
  <si>
    <t>5202351577.349915</t>
  </si>
  <si>
    <t>2490080021.570376</t>
  </si>
  <si>
    <t>112564637169.03673</t>
  </si>
  <si>
    <t>6513.87</t>
  </si>
  <si>
    <t>6531940000.0</t>
  </si>
  <si>
    <t>189.3486906498</t>
  </si>
  <si>
    <t>4022342316.083984</t>
  </si>
  <si>
    <t>2057553850.4058151</t>
  </si>
  <si>
    <t>110565485994.15149</t>
  </si>
  <si>
    <t>6398.85</t>
  </si>
  <si>
    <t>4348110000.0</t>
  </si>
  <si>
    <t>171.62624336700003</t>
  </si>
  <si>
    <t>3814974553.847052</t>
  </si>
  <si>
    <t>1834417755.4565918</t>
  </si>
  <si>
    <t>110086611746.74791</t>
  </si>
  <si>
    <t>6371.85</t>
  </si>
  <si>
    <t>4431340000.0</t>
  </si>
  <si>
    <t>149.9962163325</t>
  </si>
  <si>
    <t>3745291497.766622</t>
  </si>
  <si>
    <t>1850301796.8309324</t>
  </si>
  <si>
    <t>108503191318.7429</t>
  </si>
  <si>
    <t>6280.91</t>
  </si>
  <si>
    <t>4180090000.0</t>
  </si>
  <si>
    <t>187.816795548</t>
  </si>
  <si>
    <t>3835487976.176972</t>
  </si>
  <si>
    <t>1830692045.2596383</t>
  </si>
  <si>
    <t>112519390766.30519</t>
  </si>
  <si>
    <t>6514.06</t>
  </si>
  <si>
    <t>3910780000.0</t>
  </si>
  <si>
    <t>195.3629128976</t>
  </si>
  <si>
    <t>2605954492.5109906</t>
  </si>
  <si>
    <t>1151472531.687849</t>
  </si>
  <si>
    <t>112899164145.50102</t>
  </si>
  <si>
    <t>6536.68</t>
  </si>
  <si>
    <t>3273730000.0</t>
  </si>
  <si>
    <t>151.5994015948</t>
  </si>
  <si>
    <t>2803603112.2392707</t>
  </si>
  <si>
    <t>1346370231.7964036</t>
  </si>
  <si>
    <t>112416602437.40205</t>
  </si>
  <si>
    <t>6509.4</t>
  </si>
  <si>
    <t>3216300000.0</t>
  </si>
  <si>
    <t>161.230417284</t>
  </si>
  <si>
    <t>3729846668.125782</t>
  </si>
  <si>
    <t>1944428886.8821542</t>
  </si>
  <si>
    <t>112509077190.99979</t>
  </si>
  <si>
    <t>6515.41</t>
  </si>
  <si>
    <t>4076220000.0</t>
  </si>
  <si>
    <t>201.8965931455</t>
  </si>
  <si>
    <t>4835915333.835952</t>
  </si>
  <si>
    <t>2536821814.953153</t>
  </si>
  <si>
    <t>109715326103.75626</t>
  </si>
  <si>
    <t>6354.24</t>
  </si>
  <si>
    <t>4210910000.0</t>
  </si>
  <si>
    <t>211.4095044288</t>
  </si>
  <si>
    <t>3834971684.5997458</t>
  </si>
  <si>
    <t>2112817779.045962</t>
  </si>
  <si>
    <t>109060884575.7678</t>
  </si>
  <si>
    <t>6317.01</t>
  </si>
  <si>
    <t>4064229999.9999995</t>
  </si>
  <si>
    <t>202.5137387448</t>
  </si>
  <si>
    <t>4038253813.2910357</t>
  </si>
  <si>
    <t>2231423104.577326</t>
  </si>
  <si>
    <t>109304312779.15933</t>
  </si>
  <si>
    <t>6331.88</t>
  </si>
  <si>
    <t>3849909999.9999995</t>
  </si>
  <si>
    <t>203.97518232</t>
  </si>
  <si>
    <t>3702296598.5718846</t>
  </si>
  <si>
    <t>2031324707.5308492</t>
  </si>
  <si>
    <t>108770057535.68956</t>
  </si>
  <si>
    <t>6301.57</t>
  </si>
  <si>
    <t>3714100000.0</t>
  </si>
  <si>
    <t>205.2684754626</t>
  </si>
  <si>
    <t>2682059629.2750025</t>
  </si>
  <si>
    <t>1367109497.6305501</t>
  </si>
  <si>
    <t>107409856854.2378</t>
  </si>
  <si>
    <t>6223.38</t>
  </si>
  <si>
    <t>3671890000.0</t>
  </si>
  <si>
    <t>160.56998748420003</t>
  </si>
  <si>
    <t>3048283400.3093514</t>
  </si>
  <si>
    <t>1303988144.2394793</t>
  </si>
  <si>
    <t>111483554220.78903</t>
  </si>
  <si>
    <t>6460.17</t>
  </si>
  <si>
    <t>3835060000.0</t>
  </si>
  <si>
    <t>175.0982565276</t>
  </si>
  <si>
    <t>4240383140.527116</t>
  </si>
  <si>
    <t>2163449085.055509</t>
  </si>
  <si>
    <t>112657657160.7476</t>
  </si>
  <si>
    <t>6528.92</t>
  </si>
  <si>
    <t>4264680000.0</t>
  </si>
  <si>
    <t>204.29225721120002</t>
  </si>
  <si>
    <t>5674711194.520257</t>
  </si>
  <si>
    <t>3000357107.7073846</t>
  </si>
  <si>
    <t>116548288083.75865</t>
  </si>
  <si>
    <t>6755.14</t>
  </si>
  <si>
    <t>5523470000.0</t>
  </si>
  <si>
    <t>254.392492774</t>
  </si>
  <si>
    <t>5339951444.5140705</t>
  </si>
  <si>
    <t>2750043825.456505</t>
  </si>
  <si>
    <t>126995307007.22908</t>
  </si>
  <si>
    <t>7361.46</t>
  </si>
  <si>
    <t>5800460000.0</t>
  </si>
  <si>
    <t>254.3032552212</t>
  </si>
  <si>
    <t>4939975890.936604</t>
  </si>
  <si>
    <t>2508888295.33375</t>
  </si>
  <si>
    <t>125285021406.07892</t>
  </si>
  <si>
    <t>7263.0</t>
  </si>
  <si>
    <t>4273639999.9999995</t>
  </si>
  <si>
    <t>231.73364114999998</t>
  </si>
  <si>
    <t>4993351414.652475</t>
  </si>
  <si>
    <t>2247301453.059309</t>
  </si>
  <si>
    <t>125549983269.74869</t>
  </si>
  <si>
    <t>7279.03</t>
  </si>
  <si>
    <t>4087759999.9999995</t>
  </si>
  <si>
    <t>214.6810869027</t>
  </si>
  <si>
    <t>4210173805.5238285</t>
  </si>
  <si>
    <t>1502056220.0325966</t>
  </si>
  <si>
    <t>123993919568.81587</t>
  </si>
  <si>
    <t>7189.58</t>
  </si>
  <si>
    <t>4329540000.0</t>
  </si>
  <si>
    <t>179.2644844494</t>
  </si>
  <si>
    <t>4282342836.298731</t>
  </si>
  <si>
    <t>1643341560.3648067</t>
  </si>
  <si>
    <t>121484838943.71484</t>
  </si>
  <si>
    <t>7044.81</t>
  </si>
  <si>
    <t>4116050000.0</t>
  </si>
  <si>
    <t>186.881197275</t>
  </si>
  <si>
    <t>9228928173.575304</t>
  </si>
  <si>
    <t>2396307564.0370936</t>
  </si>
  <si>
    <t>120249807508.17966</t>
  </si>
  <si>
    <t>6973.97</t>
  </si>
  <si>
    <t>4495650000.0</t>
  </si>
  <si>
    <t>213.15562710620003</t>
  </si>
  <si>
    <t>4250994851.9476533</t>
  </si>
  <si>
    <t>2284678486.454598</t>
  </si>
  <si>
    <t>121439613651.61461</t>
  </si>
  <si>
    <t>7043.76</t>
  </si>
  <si>
    <t>4463250000.0</t>
  </si>
  <si>
    <t>230.8041517968</t>
  </si>
  <si>
    <t>4562768211.755389</t>
  </si>
  <si>
    <t>2475709783.3152556</t>
  </si>
  <si>
    <t>122252655448.6005</t>
  </si>
  <si>
    <t>7091.71</t>
  </si>
  <si>
    <t>4145880000.0000005</t>
  </si>
  <si>
    <t>210.9334819757</t>
  </si>
  <si>
    <t>4715126021.650801</t>
  </si>
  <si>
    <t>2873623847.4415984</t>
  </si>
  <si>
    <t>118782145483.61041</t>
  </si>
  <si>
    <t>6891.08</t>
  </si>
  <si>
    <t>4659940000.0</t>
  </si>
  <si>
    <t>226.88053970400003</t>
  </si>
  <si>
    <t>4341753457.709817</t>
  </si>
  <si>
    <t>2426599071.837904</t>
  </si>
  <si>
    <t>115661725149.91193</t>
  </si>
  <si>
    <t>6710.8</t>
  </si>
  <si>
    <t>4019000000.0</t>
  </si>
  <si>
    <t>205.069498804</t>
  </si>
  <si>
    <t>2387268575.069288</t>
  </si>
  <si>
    <t>1205644801.8137252</t>
  </si>
  <si>
    <t>116401697924.0</t>
  </si>
  <si>
    <t>6754.64</t>
  </si>
  <si>
    <t>3295500000.0</t>
  </si>
  <si>
    <t>160.74124882240002</t>
  </si>
  <si>
    <t>3079792231.572994</t>
  </si>
  <si>
    <t>1709046603.1346757</t>
  </si>
  <si>
    <t>115789442465.0</t>
  </si>
  <si>
    <t>6719.95</t>
  </si>
  <si>
    <t>3312600000.0</t>
  </si>
  <si>
    <t>184.3289676945</t>
  </si>
  <si>
    <t>3616315147.076222</t>
  </si>
  <si>
    <t>1988909336.892722</t>
  </si>
  <si>
    <t>112876301868.0</t>
  </si>
  <si>
    <t>6551.52</t>
  </si>
  <si>
    <t>4097820000.0</t>
  </si>
  <si>
    <t>206.04530400000002</t>
  </si>
  <si>
    <t>3559409835.663551</t>
  </si>
  <si>
    <t>2142735666.4910293</t>
  </si>
  <si>
    <t>109760106337.50899</t>
  </si>
  <si>
    <t>6371.34</t>
  </si>
  <si>
    <t>3426180000.0</t>
  </si>
  <si>
    <t>189.58699473480002</t>
  </si>
  <si>
    <t>4213578375.373697</t>
  </si>
  <si>
    <t>2453826122.3627195</t>
  </si>
  <si>
    <t>111727764281.50429</t>
  </si>
  <si>
    <t>6486.25</t>
  </si>
  <si>
    <t>4668110000.0</t>
  </si>
  <si>
    <t>194.8573928625</t>
  </si>
  <si>
    <t>4260145323.396704</t>
  </si>
  <si>
    <t>2537848795.9526944</t>
  </si>
  <si>
    <t>108525452070.47348</t>
  </si>
  <si>
    <t>6301.07</t>
  </si>
  <si>
    <t>3377180000.0</t>
  </si>
  <si>
    <t>206.3511579913</t>
  </si>
  <si>
    <t>3542550338.6252127</t>
  </si>
  <si>
    <t>1923702779.0432017</t>
  </si>
  <si>
    <t>111948370452.50761</t>
  </si>
  <si>
    <t>6500.51</t>
  </si>
  <si>
    <t>3665100000.0</t>
  </si>
  <si>
    <t>200.83767679680003</t>
  </si>
  <si>
    <t>2025425098.6221015</t>
  </si>
  <si>
    <t>1135226601.1794512</t>
  </si>
  <si>
    <t>110594002878.50116</t>
  </si>
  <si>
    <t>6422.57</t>
  </si>
  <si>
    <t>3311170000.0</t>
  </si>
  <si>
    <t>166.226387712</t>
  </si>
  <si>
    <t>2484667961.6631293</t>
  </si>
  <si>
    <t>1318392463.856959</t>
  </si>
  <si>
    <t>113352181054.0</t>
  </si>
  <si>
    <t>6583.43</t>
  </si>
  <si>
    <t>3984520000.0000005</t>
  </si>
  <si>
    <t>169.7179286908</t>
  </si>
  <si>
    <t>3771508903.6758957</t>
  </si>
  <si>
    <t>2129963181.5774179</t>
  </si>
  <si>
    <t>109163755946.35307</t>
  </si>
  <si>
    <t>6340.91</t>
  </si>
  <si>
    <t>4992990000.0</t>
  </si>
  <si>
    <t>198.62501097669997</t>
  </si>
  <si>
    <t>3880903787.8739915</t>
  </si>
  <si>
    <t>2206347610.9983993</t>
  </si>
  <si>
    <t>108348088441.4984</t>
  </si>
  <si>
    <t>6294.23</t>
  </si>
  <si>
    <t>4328420000.0</t>
  </si>
  <si>
    <t>196.17176287159998</t>
  </si>
  <si>
    <t>4598554836.417863</t>
  </si>
  <si>
    <t>2675973813.392064</t>
  </si>
  <si>
    <t>107082614433.5</t>
  </si>
  <si>
    <t>6221.42</t>
  </si>
  <si>
    <t>4895450000.0</t>
  </si>
  <si>
    <t>198.4853218268</t>
  </si>
  <si>
    <t>5292741219.4284</t>
  </si>
  <si>
    <t>2748515001.614907</t>
  </si>
  <si>
    <t>108209999834.0</t>
  </si>
  <si>
    <t>6287.66</t>
  </si>
  <si>
    <t>5301700000.0</t>
  </si>
  <si>
    <t>228.86736578699998</t>
  </si>
  <si>
    <t>4299064024.246176</t>
  </si>
  <si>
    <t>2454314325.60639</t>
  </si>
  <si>
    <t>109123232618.25175</t>
  </si>
  <si>
    <t>6341.36</t>
  </si>
  <si>
    <t>4083980000.0000005</t>
  </si>
  <si>
    <t>206.6577566632</t>
  </si>
  <si>
    <t>2298917333.981525</t>
  </si>
  <si>
    <t>1290574951.2744057</t>
  </si>
  <si>
    <t>108118524086.00154</t>
  </si>
  <si>
    <t>6283.65</t>
  </si>
  <si>
    <t>5665250000.0</t>
  </si>
  <si>
    <t>159.7636235085</t>
  </si>
  <si>
    <t>3104925386.59737</t>
  </si>
  <si>
    <t>1678470131.6802807</t>
  </si>
  <si>
    <t>106422805476.0</t>
  </si>
  <si>
    <t>6185.79</t>
  </si>
  <si>
    <t>4047849999.9999995</t>
  </si>
  <si>
    <t>179.7468095358</t>
  </si>
  <si>
    <t>4456150601.32035</t>
  </si>
  <si>
    <t>2369829765.1573887</t>
  </si>
  <si>
    <t>113043209695.53128</t>
  </si>
  <si>
    <t>6571.42</t>
  </si>
  <si>
    <t>4528680000.0</t>
  </si>
  <si>
    <t>200.38323005880002</t>
  </si>
  <si>
    <t>4601544380.796439</t>
  </si>
  <si>
    <t>2481928065.804361</t>
  </si>
  <si>
    <t>108456022944.4704</t>
  </si>
  <si>
    <t>6305.56</t>
  </si>
  <si>
    <t>4267039999.9999995</t>
  </si>
  <si>
    <t>191.7235154132</t>
  </si>
  <si>
    <t>5388353975.607144</t>
  </si>
  <si>
    <t>2713193431.0675235</t>
  </si>
  <si>
    <t>116033675670.0</t>
  </si>
  <si>
    <t>6746.85</t>
  </si>
  <si>
    <t>5064430000.0</t>
  </si>
  <si>
    <t>225.82226457450002</t>
  </si>
  <si>
    <t>4547865328.412694</t>
  </si>
  <si>
    <t>2237663183.086547</t>
  </si>
  <si>
    <t>119657010300.0</t>
  </si>
  <si>
    <t>6958.32</t>
  </si>
  <si>
    <t>4682800000.0</t>
  </si>
  <si>
    <t>207.0734102952</t>
  </si>
  <si>
    <t>4256522100.4603066</t>
  </si>
  <si>
    <t>2180602691.0681043</t>
  </si>
  <si>
    <t>121442485815.5</t>
  </si>
  <si>
    <t>7062.94</t>
  </si>
  <si>
    <t>3925900000.0</t>
  </si>
  <si>
    <t>201.74376990739998</t>
  </si>
  <si>
    <t>3443177449.8929734</t>
  </si>
  <si>
    <t>1471054330.1535542</t>
  </si>
  <si>
    <t>120883073339.0</t>
  </si>
  <si>
    <t>7031.08</t>
  </si>
  <si>
    <t>3679110000.0</t>
  </si>
  <si>
    <t>158.0465849424</t>
  </si>
  <si>
    <t>3593955401.5816603</t>
  </si>
  <si>
    <t>1542412877.5703325</t>
  </si>
  <si>
    <t>127876033632.82846</t>
  </si>
  <si>
    <t>7438.67</t>
  </si>
  <si>
    <t>4268389999.9999995</t>
  </si>
  <si>
    <t>173.5940845757</t>
  </si>
  <si>
    <t>4551433195.571525</t>
  </si>
  <si>
    <t>2405353989.0988517</t>
  </si>
  <si>
    <t>129981654336.2457</t>
  </si>
  <si>
    <t>7562.14</t>
  </si>
  <si>
    <t>4627150000.0</t>
  </si>
  <si>
    <t>197.57209946720002</t>
  </si>
  <si>
    <t>4575247295.201671</t>
  </si>
  <si>
    <t>2521250481.5735993</t>
  </si>
  <si>
    <t>131204243016.0</t>
  </si>
  <si>
    <t>7634.19</t>
  </si>
  <si>
    <t>4214110000.0</t>
  </si>
  <si>
    <t>209.8238799444</t>
  </si>
  <si>
    <t>4566928612.458492</t>
  </si>
  <si>
    <t>2350378868.7320356</t>
  </si>
  <si>
    <t>133506966882.30678</t>
  </si>
  <si>
    <t>7769.04</t>
  </si>
  <si>
    <t>4797620000.0</t>
  </si>
  <si>
    <t>235.05075139200002</t>
  </si>
  <si>
    <t>5095902412.05072</t>
  </si>
  <si>
    <t>2714062562.900329</t>
  </si>
  <si>
    <t>140574589824.1056</t>
  </si>
  <si>
    <t>8181.2</t>
  </si>
  <si>
    <t>5287530000.0</t>
  </si>
  <si>
    <t>231.863143764</t>
  </si>
  <si>
    <t>4869650399.971709</t>
  </si>
  <si>
    <t>2699324558.0421386</t>
  </si>
  <si>
    <t>141253321664.0</t>
  </si>
  <si>
    <t>8221.58</t>
  </si>
  <si>
    <t>5551400000.0</t>
  </si>
  <si>
    <t>231.9117799502</t>
  </si>
  <si>
    <t>3570968619.665368</t>
  </si>
  <si>
    <t>1919858513.9612634</t>
  </si>
  <si>
    <t>140968700832.31924</t>
  </si>
  <si>
    <t>8205.82</t>
  </si>
  <si>
    <t>4107190016.0</t>
  </si>
  <si>
    <t>182.1513153124</t>
  </si>
  <si>
    <t>3433507047.6814756</t>
  </si>
  <si>
    <t>1694550562.1575005</t>
  </si>
  <si>
    <t>140319943620.0</t>
  </si>
  <si>
    <t>8169.06</t>
  </si>
  <si>
    <t>3988750080.0</t>
  </si>
  <si>
    <t>177.9951581964</t>
  </si>
  <si>
    <t>4546416627.231781</t>
  </si>
  <si>
    <t>2553697001.381751</t>
  </si>
  <si>
    <t>136549606724.92657</t>
  </si>
  <si>
    <t>7950.4</t>
  </si>
  <si>
    <t>5195879936.0</t>
  </si>
  <si>
    <t>197.45923505599998</t>
  </si>
  <si>
    <t>4639718655.876244</t>
  </si>
  <si>
    <t>2636205960.471769</t>
  </si>
  <si>
    <t>140421658313.23584</t>
  </si>
  <si>
    <t>8176.85</t>
  </si>
  <si>
    <t>4899089920.0</t>
  </si>
  <si>
    <t>200.87372362750003</t>
  </si>
  <si>
    <t>5485943591.324705</t>
  </si>
  <si>
    <t>2929991201.487239</t>
  </si>
  <si>
    <t>143887451906.97955</t>
  </si>
  <si>
    <t>8379.66</t>
  </si>
  <si>
    <t>5845400064.0</t>
  </si>
  <si>
    <t>194.38716284999998</t>
  </si>
  <si>
    <t>5790915701.598545</t>
  </si>
  <si>
    <t>3064401493.3177066</t>
  </si>
  <si>
    <t>132483502398.87915</t>
  </si>
  <si>
    <t>7716.51</t>
  </si>
  <si>
    <t>7277689856.0</t>
  </si>
  <si>
    <t>214.2716638545</t>
  </si>
  <si>
    <t>4781389673.431594</t>
  </si>
  <si>
    <t>2445605970.7660885</t>
  </si>
  <si>
    <t>127287117972.20268</t>
  </si>
  <si>
    <t>7414.71</t>
  </si>
  <si>
    <t>5132480000.0</t>
  </si>
  <si>
    <t>229.75235235419999</t>
  </si>
  <si>
    <t>2764756602.6589394</t>
  </si>
  <si>
    <t>1233501405.965951</t>
  </si>
  <si>
    <t>127324771563.22005</t>
  </si>
  <si>
    <t>7417.8</t>
  </si>
  <si>
    <t>3695460096.0</t>
  </si>
  <si>
    <t>180.162117018</t>
  </si>
  <si>
    <t>3143680510.313757</t>
  </si>
  <si>
    <t>1654203618.8795416</t>
  </si>
  <si>
    <t>126190961414.41206</t>
  </si>
  <si>
    <t>7352.72</t>
  </si>
  <si>
    <t>3726609920.0</t>
  </si>
  <si>
    <t>170.895962236</t>
  </si>
  <si>
    <t>4551700540.136897</t>
  </si>
  <si>
    <t>2379933490.3660917</t>
  </si>
  <si>
    <t>128146371235.25383</t>
  </si>
  <si>
    <t>7467.4</t>
  </si>
  <si>
    <t>4936869888.0</t>
  </si>
  <si>
    <t>215.323375088</t>
  </si>
  <si>
    <t>4707739708.986639</t>
  </si>
  <si>
    <t>2630493326.8308177</t>
  </si>
  <si>
    <t>126601427070.0</t>
  </si>
  <si>
    <t>7378.2</t>
  </si>
  <si>
    <t>5111629824.0</t>
  </si>
  <si>
    <t>203.132618172</t>
  </si>
  <si>
    <t>5256772478.2271595</t>
  </si>
  <si>
    <t>2932085137.569402</t>
  </si>
  <si>
    <t>125506655544.97896</t>
  </si>
  <si>
    <t>7315.32</t>
  </si>
  <si>
    <t>6103410176.0</t>
  </si>
  <si>
    <t>236.89208071320002</t>
  </si>
  <si>
    <t>4665305839.722184</t>
  </si>
  <si>
    <t>2533086464.7390184</t>
  </si>
  <si>
    <t>115615494416.25</t>
  </si>
  <si>
    <t>6739.65</t>
  </si>
  <si>
    <t>5961950208.0</t>
  </si>
  <si>
    <t>240.687054765</t>
  </si>
  <si>
    <t>4410996419.06966</t>
  </si>
  <si>
    <t>2092138401.6027555</t>
  </si>
  <si>
    <t>109038931875.02855</t>
  </si>
  <si>
    <t>6357.01</t>
  </si>
  <si>
    <t>4725799936.0</t>
  </si>
  <si>
    <t>241.56638</t>
  </si>
  <si>
    <t>3287356879.154315</t>
  </si>
  <si>
    <t>1335168159.4712908</t>
  </si>
  <si>
    <t>107583466607.71562</t>
  </si>
  <si>
    <t>6272.7</t>
  </si>
  <si>
    <t>3285459968.0</t>
  </si>
  <si>
    <t>201.09109477799998</t>
  </si>
  <si>
    <t>3009261259.934367</t>
  </si>
  <si>
    <t>1415401375.9653966</t>
  </si>
  <si>
    <t>107140639094.56201</t>
  </si>
  <si>
    <t>6247.5</t>
  </si>
  <si>
    <t>2923670016.0</t>
  </si>
  <si>
    <t>169.83316455000002</t>
  </si>
  <si>
    <t>3815861354.376322</t>
  </si>
  <si>
    <t>2129787680.878929</t>
  </si>
  <si>
    <t>106916654627.25993</t>
  </si>
  <si>
    <t>6235.03</t>
  </si>
  <si>
    <t>3805400064.0</t>
  </si>
  <si>
    <t>205.7014958378</t>
  </si>
  <si>
    <t>3981246382.990611</t>
  </si>
  <si>
    <t>2035574502.3239536</t>
  </si>
  <si>
    <t>109678870041.51349</t>
  </si>
  <si>
    <t>6396.78</t>
  </si>
  <si>
    <t>3770170111.9999995</t>
  </si>
  <si>
    <t>204.6154650228</t>
  </si>
  <si>
    <t>3747229683.5050845</t>
  </si>
  <si>
    <t>2210974336.769923</t>
  </si>
  <si>
    <t>108535670495.005</t>
  </si>
  <si>
    <t>6330.77</t>
  </si>
  <si>
    <t>3644859904.0</t>
  </si>
  <si>
    <t>227.80554137220003</t>
  </si>
  <si>
    <t>5529289206.233051</t>
  </si>
  <si>
    <t>2310385944.689241</t>
  </si>
  <si>
    <t>115526738944.48383</t>
  </si>
  <si>
    <t>6739.21</t>
  </si>
  <si>
    <t>4052430080.0</t>
  </si>
  <si>
    <t>245.6343652534</t>
  </si>
  <si>
    <t>3529973460.555613</t>
  </si>
  <si>
    <t>2082612792.9863224</t>
  </si>
  <si>
    <t>116129186926.21123</t>
  </si>
  <si>
    <t>6775.08</t>
  </si>
  <si>
    <t>3718129920.0</t>
  </si>
  <si>
    <t>225.3502041804</t>
  </si>
  <si>
    <t>3131026528.1084247</t>
  </si>
  <si>
    <t>1775783457.5813994</t>
  </si>
  <si>
    <t>117535319865.0</t>
  </si>
  <si>
    <t>6857.8</t>
  </si>
  <si>
    <t>3386210048.0</t>
  </si>
  <si>
    <t>188.59018578</t>
  </si>
  <si>
    <t>2369378762.0760055</t>
  </si>
  <si>
    <t>1304610159.7721758</t>
  </si>
  <si>
    <t>114281096423.36438</t>
  </si>
  <si>
    <t>6668.71</t>
  </si>
  <si>
    <t>3961080064.0</t>
  </si>
  <si>
    <t>172.7644694183</t>
  </si>
  <si>
    <t>3912253198.6004095</t>
  </si>
  <si>
    <t>2254629281.675897</t>
  </si>
  <si>
    <t>113754032814.28</t>
  </si>
  <si>
    <t>6638.69</t>
  </si>
  <si>
    <t>4313959936.0</t>
  </si>
  <si>
    <t>211.12016726119998</t>
  </si>
  <si>
    <t>3828078410.4600034</t>
  </si>
  <si>
    <t>2119380953.0865312</t>
  </si>
  <si>
    <t>113072831430.0</t>
  </si>
  <si>
    <t>6599.71</t>
  </si>
  <si>
    <t>4999240192.0</t>
  </si>
  <si>
    <t>214.46615607299998</t>
  </si>
  <si>
    <t>3490260975.1001964</t>
  </si>
  <si>
    <t>2073028935.173028</t>
  </si>
  <si>
    <t>112224834069.83893</t>
  </si>
  <si>
    <t>6550.87</t>
  </si>
  <si>
    <t>4176689920.0</t>
  </si>
  <si>
    <t>215.8923714723</t>
  </si>
  <si>
    <t>4464211068.382659</t>
  </si>
  <si>
    <t>2713078864.479122</t>
  </si>
  <si>
    <t>112998312052.75258</t>
  </si>
  <si>
    <t>6596.66</t>
  </si>
  <si>
    <t>4672309760.0</t>
  </si>
  <si>
    <t>303.638982472</t>
  </si>
  <si>
    <t>3936375438.941945</t>
  </si>
  <si>
    <t>2092637119.5670927</t>
  </si>
  <si>
    <t>109284265206.98232</t>
  </si>
  <si>
    <t>6380.38</t>
  </si>
  <si>
    <t>4396930048.0</t>
  </si>
  <si>
    <t>242.91229606880003</t>
  </si>
  <si>
    <t>3214311910.9325757</t>
  </si>
  <si>
    <t>1835269860.2757704</t>
  </si>
  <si>
    <t>109808912999.81863</t>
  </si>
  <si>
    <t>6411.68</t>
  </si>
  <si>
    <t>4788259840.0</t>
  </si>
  <si>
    <t>192.3331525808</t>
  </si>
  <si>
    <t>2645912542.5828395</t>
  </si>
  <si>
    <t>1597107606.2995627</t>
  </si>
  <si>
    <t>106415721101.0</t>
  </si>
  <si>
    <t>6214.22</t>
  </si>
  <si>
    <t>4543860224.0</t>
  </si>
  <si>
    <t>239.523381368</t>
  </si>
  <si>
    <t>3069156853.496531</t>
  </si>
  <si>
    <t>1952213012.6275907</t>
  </si>
  <si>
    <t>100992500364.0</t>
  </si>
  <si>
    <t>5898.13</t>
  </si>
  <si>
    <t>3966230016.0</t>
  </si>
  <si>
    <t>266.3462800075</t>
  </si>
  <si>
    <t>3278087915.65602</t>
  </si>
  <si>
    <t>1950481484.0501509</t>
  </si>
  <si>
    <t>105347790873.0</t>
  </si>
  <si>
    <t>6153.16</t>
  </si>
  <si>
    <t>3467800064.0</t>
  </si>
  <si>
    <t>242.8113235184</t>
  </si>
  <si>
    <t>3912693855.5076413</t>
  </si>
  <si>
    <t>2582391255.1127696</t>
  </si>
  <si>
    <t>104158539380.4941</t>
  </si>
  <si>
    <t>6084.4</t>
  </si>
  <si>
    <t>3296219904.0000005</t>
  </si>
  <si>
    <t>253.782696916</t>
  </si>
  <si>
    <t>3202163271.1584473</t>
  </si>
  <si>
    <t>1830253837.1677768</t>
  </si>
  <si>
    <t>107044673109.00656</t>
  </si>
  <si>
    <t>6253.55</t>
  </si>
  <si>
    <t>3279759872.0</t>
  </si>
  <si>
    <t>244.81266215450003</t>
  </si>
  <si>
    <t>3768795199.5372925</t>
  </si>
  <si>
    <t>2182625017.0087824</t>
  </si>
  <si>
    <t>105636969732.0</t>
  </si>
  <si>
    <t>6171.97</t>
  </si>
  <si>
    <t>5500810240.0</t>
  </si>
  <si>
    <t>245.33914036380003</t>
  </si>
  <si>
    <t>2990514019.784137</t>
  </si>
  <si>
    <t>1646612862.2879603</t>
  </si>
  <si>
    <t>105493404393.10039</t>
  </si>
  <si>
    <t>6164.28</t>
  </si>
  <si>
    <t>4566909952.0</t>
  </si>
  <si>
    <t>219.24944668439997</t>
  </si>
  <si>
    <t>2467068562.308621</t>
  </si>
  <si>
    <t>1313279390.7484765</t>
  </si>
  <si>
    <t>104210746150.0</t>
  </si>
  <si>
    <t>6090.1</t>
  </si>
  <si>
    <t>3431360000.0</t>
  </si>
  <si>
    <t>206.499213136</t>
  </si>
  <si>
    <t>4728182571.358903</t>
  </si>
  <si>
    <t>2733263513.23387</t>
  </si>
  <si>
    <t>115281670267.5268</t>
  </si>
  <si>
    <t>6737.88</t>
  </si>
  <si>
    <t>5079810048.0</t>
  </si>
  <si>
    <t>284.87493862680003</t>
  </si>
  <si>
    <t>3696120111.5714912</t>
  </si>
  <si>
    <t>2030909516.4048927</t>
  </si>
  <si>
    <t>115991067684.0</t>
  </si>
  <si>
    <t>6780.09</t>
  </si>
  <si>
    <t>3529129984.0</t>
  </si>
  <si>
    <t>241.38815422500002</t>
  </si>
  <si>
    <t>3529790002.126762</t>
  </si>
  <si>
    <t>1921333893.8239598</t>
  </si>
  <si>
    <t>115817316429.51967</t>
  </si>
  <si>
    <t>6770.76</t>
  </si>
  <si>
    <t>3888640000.0</t>
  </si>
  <si>
    <t>283.18906822800005</t>
  </si>
  <si>
    <t>3521309063.9190574</t>
  </si>
  <si>
    <t>2017398110.9929743</t>
  </si>
  <si>
    <t>115318716833.64912</t>
  </si>
  <si>
    <t>6742.39</t>
  </si>
  <si>
    <t>4057029888.0</t>
  </si>
  <si>
    <t>255.97861208840004</t>
  </si>
  <si>
    <t>3323250945.46292</t>
  </si>
  <si>
    <t>2047505864.636521</t>
  </si>
  <si>
    <t>111332613112.0</t>
  </si>
  <si>
    <t>6510.07</t>
  </si>
  <si>
    <t>4039200000.0</t>
  </si>
  <si>
    <t>238.485998338</t>
  </si>
  <si>
    <t>2382721738.69422</t>
  </si>
  <si>
    <t>1298826708.6788962</t>
  </si>
  <si>
    <t>111925781149.4982</t>
  </si>
  <si>
    <t>6545.53</t>
  </si>
  <si>
    <t>3104019968.0</t>
  </si>
  <si>
    <t>198.0105953231</t>
  </si>
  <si>
    <t>2204904080.637688</t>
  </si>
  <si>
    <t>1272154989.9127333</t>
  </si>
  <si>
    <t>110372701920.0</t>
  </si>
  <si>
    <t>6455.45</t>
  </si>
  <si>
    <t>3194170112.0</t>
  </si>
  <si>
    <t>214.08047448749997</t>
  </si>
  <si>
    <t>4728327799.3996315</t>
  </si>
  <si>
    <t>2382211566.1809645</t>
  </si>
  <si>
    <t>114096981580.4845</t>
  </si>
  <si>
    <t>6674.08</t>
  </si>
  <si>
    <t>3955389952.0</t>
  </si>
  <si>
    <t>254.69383829120002</t>
  </si>
  <si>
    <t>5827509265.830234</t>
  </si>
  <si>
    <t>2401280198.781972</t>
  </si>
  <si>
    <t>108420666081.7975</t>
  </si>
  <si>
    <t>6342.75</t>
  </si>
  <si>
    <t>5138710016.0</t>
  </si>
  <si>
    <t>295.58007843750005</t>
  </si>
  <si>
    <t>6050461636.595246</t>
  </si>
  <si>
    <t>3005806381.327761</t>
  </si>
  <si>
    <t>112751893896.0</t>
  </si>
  <si>
    <t>6596.88</t>
  </si>
  <si>
    <t>5052349952.0</t>
  </si>
  <si>
    <t>281.68591840560003</t>
  </si>
  <si>
    <t>6460010625.559951</t>
  </si>
  <si>
    <t>2914665231.7537274</t>
  </si>
  <si>
    <t>118019773218.0</t>
  </si>
  <si>
    <t>6905.82</t>
  </si>
  <si>
    <t>4654380032.0</t>
  </si>
  <si>
    <t>270.4435129776</t>
  </si>
  <si>
    <t>6838895569.186992</t>
  </si>
  <si>
    <t>2846626259.7590265</t>
  </si>
  <si>
    <t>116186689075.94061</t>
  </si>
  <si>
    <t>6799.29</t>
  </si>
  <si>
    <t>4745269760.0</t>
  </si>
  <si>
    <t>270.611742</t>
  </si>
  <si>
    <t>7172614294.446173</t>
  </si>
  <si>
    <t>3221845860.806586</t>
  </si>
  <si>
    <t>128139936142.5</t>
  </si>
  <si>
    <t>7499.55</t>
  </si>
  <si>
    <t>5804839936.0</t>
  </si>
  <si>
    <t>246.02003791200002</t>
  </si>
  <si>
    <t>4280029710.144923</t>
  </si>
  <si>
    <t>2193449620.295684</t>
  </si>
  <si>
    <t>130399787660.48323</t>
  </si>
  <si>
    <t>7632.52</t>
  </si>
  <si>
    <t>3845220096.0</t>
  </si>
  <si>
    <t>228.46956392400003</t>
  </si>
  <si>
    <t>7184034326.85196</t>
  </si>
  <si>
    <t>2932875227.4765453</t>
  </si>
  <si>
    <t>131284954584.6397</t>
  </si>
  <si>
    <t>7685.14</t>
  </si>
  <si>
    <t>4227579904.0</t>
  </si>
  <si>
    <t>252.69270594660003</t>
  </si>
  <si>
    <t>5837903258.625842</t>
  </si>
  <si>
    <t>2614138495.5808234</t>
  </si>
  <si>
    <t>130684804043.0</t>
  </si>
  <si>
    <t>7650.82</t>
  </si>
  <si>
    <t>4485799936.0</t>
  </si>
  <si>
    <t>274.17379091339996</t>
  </si>
  <si>
    <t>5055066683.421442</t>
  </si>
  <si>
    <t>2853752936.358951</t>
  </si>
  <si>
    <t>130246702231.37912</t>
  </si>
  <si>
    <t>7625.97</t>
  </si>
  <si>
    <t>4692259840.0</t>
  </si>
  <si>
    <t>278.2811015028</t>
  </si>
  <si>
    <t>5821973644.021471</t>
  </si>
  <si>
    <t>2853352010.0083623</t>
  </si>
  <si>
    <t>128096994795.0</t>
  </si>
  <si>
    <t>7500.9</t>
  </si>
  <si>
    <t>4961739776.0</t>
  </si>
  <si>
    <t>305.3316354</t>
  </si>
  <si>
    <t>7925996820.235336</t>
  </si>
  <si>
    <t>2583341426.202999</t>
  </si>
  <si>
    <t>131864902634.98616</t>
  </si>
  <si>
    <t>7722.53</t>
  </si>
  <si>
    <t>4993169920.0</t>
  </si>
  <si>
    <t>310.5680308752</t>
  </si>
  <si>
    <t>4477651688.188685</t>
  </si>
  <si>
    <t>1846975859.9942589</t>
  </si>
  <si>
    <t>130302863372.00284</t>
  </si>
  <si>
    <t>7632.09</t>
  </si>
  <si>
    <t>4851760128.0</t>
  </si>
  <si>
    <t>246.27182219460002</t>
  </si>
  <si>
    <t>4151723265.356072</t>
  </si>
  <si>
    <t>2051493451.042252</t>
  </si>
  <si>
    <t>128659535537.7535</t>
  </si>
  <si>
    <t>7536.72</t>
  </si>
  <si>
    <t>4939299840.0</t>
  </si>
  <si>
    <t>242.85723590400002</t>
  </si>
  <si>
    <t>6206627425.435373</t>
  </si>
  <si>
    <t>2633963308.146321</t>
  </si>
  <si>
    <t>128030288378.00215</t>
  </si>
  <si>
    <t>7500.7</t>
  </si>
  <si>
    <t>4921460224.0</t>
  </si>
  <si>
    <t>287.96612433</t>
  </si>
  <si>
    <t>7435591700.335896</t>
  </si>
  <si>
    <t>2802947328.0339546</t>
  </si>
  <si>
    <t>126400762050.0</t>
  </si>
  <si>
    <t>7406.15</t>
  </si>
  <si>
    <t>5127130112.0</t>
  </si>
  <si>
    <t>296.830197112</t>
  </si>
  <si>
    <t>7348935916.84197</t>
  </si>
  <si>
    <t>2940583382.6066885</t>
  </si>
  <si>
    <t>127470568963.5</t>
  </si>
  <si>
    <t>7469.73</t>
  </si>
  <si>
    <t>4922540032.0</t>
  </si>
  <si>
    <t>319.14757562849996</t>
  </si>
  <si>
    <t>6834181061.616782</t>
  </si>
  <si>
    <t>3124205733.013507</t>
  </si>
  <si>
    <t>121647922695.44366</t>
  </si>
  <si>
    <t>7129.46</t>
  </si>
  <si>
    <t>5662660096.0</t>
  </si>
  <si>
    <t>323.04346112220003</t>
  </si>
  <si>
    <t>7536167651.113008</t>
  </si>
  <si>
    <t>2929279426.5739846</t>
  </si>
  <si>
    <t>125762192648.8522</t>
  </si>
  <si>
    <t>7371.31</t>
  </si>
  <si>
    <t>5040600064.0</t>
  </si>
  <si>
    <t>309.48607203820006</t>
  </si>
  <si>
    <t>4137503733.7760754</t>
  </si>
  <si>
    <t>1591443012.0868316</t>
  </si>
  <si>
    <t>125590274875.50041</t>
  </si>
  <si>
    <t>7362.08</t>
  </si>
  <si>
    <t>4056519936.0</t>
  </si>
  <si>
    <t>244.6067276576</t>
  </si>
  <si>
    <t>3192077186.1266446</t>
  </si>
  <si>
    <t>1624873333.1911325</t>
  </si>
  <si>
    <t>127696702198.0</t>
  </si>
  <si>
    <t>7486.48</t>
  </si>
  <si>
    <t>4051539968.0</t>
  </si>
  <si>
    <t>246.85687071119997</t>
  </si>
  <si>
    <t>4394747434.912385</t>
  </si>
  <si>
    <t>2649187658.8086596</t>
  </si>
  <si>
    <t>129486577799.9173</t>
  </si>
  <si>
    <t>7592.3</t>
  </si>
  <si>
    <t>4867829760.0</t>
  </si>
  <si>
    <t>300.409317249</t>
  </si>
  <si>
    <t>5257684343.110054</t>
  </si>
  <si>
    <t>3113925230.6470337</t>
  </si>
  <si>
    <t>128938267136.0</t>
  </si>
  <si>
    <t>7561.12</t>
  </si>
  <si>
    <t>6049220096.0</t>
  </si>
  <si>
    <t>338.043309072</t>
  </si>
  <si>
    <t>5490574414.1558895</t>
  </si>
  <si>
    <t>3085764203.8778386</t>
  </si>
  <si>
    <t>137040347525.13016</t>
  </si>
  <si>
    <t>8037.08</t>
  </si>
  <si>
    <t>6491120128.0</t>
  </si>
  <si>
    <t>363.5395518532</t>
  </si>
  <si>
    <t>4657170904.767543</t>
  </si>
  <si>
    <t>2632479036.438751</t>
  </si>
  <si>
    <t>143550153133.77353</t>
  </si>
  <si>
    <t>8419.87</t>
  </si>
  <si>
    <t>5137010176.0</t>
  </si>
  <si>
    <t>331.16241216220004</t>
  </si>
  <si>
    <t>4767614618.484793</t>
  </si>
  <si>
    <t>2642551665.059329</t>
  </si>
  <si>
    <t>145280585627.00613</t>
  </si>
  <si>
    <t>8522.33</t>
  </si>
  <si>
    <t>5154990080.0</t>
  </si>
  <si>
    <t>340.6788634005</t>
  </si>
  <si>
    <t>3692211645.494323</t>
  </si>
  <si>
    <t>1906368612.94</t>
  </si>
  <si>
    <t>140571074387.38782</t>
  </si>
  <si>
    <t>8246.99</t>
  </si>
  <si>
    <t>5191059968.0</t>
  </si>
  <si>
    <t>323.6359688108</t>
  </si>
  <si>
    <t>3553458379.386375</t>
  </si>
  <si>
    <t>1837980624.9476132</t>
  </si>
  <si>
    <t>140704883109.0</t>
  </si>
  <si>
    <t>8255.73</t>
  </si>
  <si>
    <t>4712399872.0</t>
  </si>
  <si>
    <t>271.9293812298</t>
  </si>
  <si>
    <t>6173070993.5507345</t>
  </si>
  <si>
    <t>3819859445.934973</t>
  </si>
  <si>
    <t>137895707170.99036</t>
  </si>
  <si>
    <t>8091.83</t>
  </si>
  <si>
    <t>5764190208.0</t>
  </si>
  <si>
    <t>321.195481654</t>
  </si>
  <si>
    <t>6309030686.020439</t>
  </si>
  <si>
    <t>4107812196.792535</t>
  </si>
  <si>
    <t>142622094728.75</t>
  </si>
  <si>
    <t>8370.05</t>
  </si>
  <si>
    <t>5862530048.0</t>
  </si>
  <si>
    <t>365.9192511845</t>
  </si>
  <si>
    <t>6338058073.965739</t>
  </si>
  <si>
    <t>3622014100.153114</t>
  </si>
  <si>
    <t>144897499749.50406</t>
  </si>
  <si>
    <t>8504.41</t>
  </si>
  <si>
    <t>6760220160.0</t>
  </si>
  <si>
    <t>326.8561977493</t>
  </si>
  <si>
    <t>5705827469.858212</t>
  </si>
  <si>
    <t>3102166941.895279</t>
  </si>
  <si>
    <t>148298456855.96866</t>
  </si>
  <si>
    <t>8705.19</t>
  </si>
  <si>
    <t>6705710080.0</t>
  </si>
  <si>
    <t>391.26756117930006</t>
  </si>
  <si>
    <t>7711103107.178812</t>
  </si>
  <si>
    <t>4327685510.751791</t>
  </si>
  <si>
    <t>148417420607.74988</t>
  </si>
  <si>
    <t>8713.1</t>
  </si>
  <si>
    <t>7364149760.0</t>
  </si>
  <si>
    <t>382.667763577</t>
  </si>
  <si>
    <t>3847909236.060265</t>
  </si>
  <si>
    <t>2033931600.4631932</t>
  </si>
  <si>
    <t>145037418076.84473</t>
  </si>
  <si>
    <t>8515.49</t>
  </si>
  <si>
    <t>5866379776.0</t>
  </si>
  <si>
    <t>304.2433852827</t>
  </si>
  <si>
    <t>4974204732.654048</t>
  </si>
  <si>
    <t>2474045070.863088</t>
  </si>
  <si>
    <t>143760466667.7519</t>
  </si>
  <si>
    <t>8441.44</t>
  </si>
  <si>
    <t>6821380096.0</t>
  </si>
  <si>
    <t>255.66445823520002</t>
  </si>
  <si>
    <t>8447266642.535599</t>
  </si>
  <si>
    <t>4624565126.766729</t>
  </si>
  <si>
    <t>154156066119.46375</t>
  </si>
  <si>
    <t>9052.96</t>
  </si>
  <si>
    <t>8488520192.0</t>
  </si>
  <si>
    <t>428.8938477264</t>
  </si>
  <si>
    <t>6876198665.324598</t>
  </si>
  <si>
    <t>3820425725.9401035</t>
  </si>
  <si>
    <t>158790323132.0</t>
  </si>
  <si>
    <t>9325.96</t>
  </si>
  <si>
    <t>6906699776.0</t>
  </si>
  <si>
    <t>354.38703955759996</t>
  </si>
  <si>
    <t>6415001713.622541</t>
  </si>
  <si>
    <t>3760745127.0218396</t>
  </si>
  <si>
    <t>157031697317.5</t>
  </si>
  <si>
    <t>9223.73</t>
  </si>
  <si>
    <t>7226890239.999999</t>
  </si>
  <si>
    <t>340.1077031376</t>
  </si>
  <si>
    <t>6527295923.228875</t>
  </si>
  <si>
    <t>3713465241.3513603</t>
  </si>
  <si>
    <t>159688317363.10254</t>
  </si>
  <si>
    <t>9380.87</t>
  </si>
  <si>
    <t>7415869952.0</t>
  </si>
  <si>
    <t>321.88569850130006</t>
  </si>
  <si>
    <t>6739584540.726354</t>
  </si>
  <si>
    <t>3868097401.9106994</t>
  </si>
  <si>
    <t>164179064817.9165</t>
  </si>
  <si>
    <t>9645.67</t>
  </si>
  <si>
    <t>7394019840.0</t>
  </si>
  <si>
    <t>339.262328075</t>
  </si>
  <si>
    <t>5507894075.53038</t>
  </si>
  <si>
    <t>3065267319.2990217</t>
  </si>
  <si>
    <t>167558925830.6279</t>
  </si>
  <si>
    <t>9845.31</t>
  </si>
  <si>
    <t>7222280192.0</t>
  </si>
  <si>
    <t>295.3593</t>
  </si>
  <si>
    <t>5748961684.326009</t>
  </si>
  <si>
    <t>2809396515.5568676</t>
  </si>
  <si>
    <t>165073418768.31082</t>
  </si>
  <si>
    <t>9700.28</t>
  </si>
  <si>
    <t>7651939840.0</t>
  </si>
  <si>
    <t>295.99667198720005</t>
  </si>
  <si>
    <t>7837824037.879028</t>
  </si>
  <si>
    <t>4235399151.333771</t>
  </si>
  <si>
    <t>164973295475.0</t>
  </si>
  <si>
    <t>9695.5</t>
  </si>
  <si>
    <t>8217829888.000001</t>
  </si>
  <si>
    <t>395.393445915</t>
  </si>
  <si>
    <t>6933584099.664023</t>
  </si>
  <si>
    <t>3621083562.9164467</t>
  </si>
  <si>
    <t>157103302840.77615</t>
  </si>
  <si>
    <t>9233.97</t>
  </si>
  <si>
    <t>10207299584.0</t>
  </si>
  <si>
    <t>382.1455399575</t>
  </si>
  <si>
    <t>5881530805.636436</t>
  </si>
  <si>
    <t>3574194267.3220186</t>
  </si>
  <si>
    <t>154885861895.0</t>
  </si>
  <si>
    <t>9104.6</t>
  </si>
  <si>
    <t>7558159872.0</t>
  </si>
  <si>
    <t>379.79392774600007</t>
  </si>
  <si>
    <t>5417296649.123795</t>
  </si>
  <si>
    <t>2791440454.798394</t>
  </si>
  <si>
    <t>157367273413.5036</t>
  </si>
  <si>
    <t>9251.47</t>
  </si>
  <si>
    <t>7713019904.0</t>
  </si>
  <si>
    <t>363.91869187569995</t>
  </si>
  <si>
    <t>Date</t>
  </si>
  <si>
    <t>Tx Volume</t>
  </si>
  <si>
    <t>Adjusted Tx Volume(Usd)</t>
  </si>
  <si>
    <t>Tx Count</t>
  </si>
  <si>
    <t>Marketcap</t>
  </si>
  <si>
    <t>Price</t>
  </si>
  <si>
    <t>Exchange Volume</t>
  </si>
  <si>
    <t>Realized Cap(Usd)</t>
  </si>
  <si>
    <t>Generated Coins</t>
  </si>
  <si>
    <t>Fees</t>
  </si>
  <si>
    <t>Active Addresses</t>
  </si>
  <si>
    <t>Average Difficulty</t>
  </si>
  <si>
    <t>Payment Count</t>
  </si>
  <si>
    <t>Median Tx Value(Usd)</t>
  </si>
  <si>
    <t>Median Fee</t>
  </si>
  <si>
    <t>Block Size</t>
  </si>
  <si>
    <t>Block Count</t>
  </si>
  <si>
    <t>date</t>
  </si>
  <si>
    <t>Tx Volume(Usd)</t>
  </si>
  <si>
    <t>marketcap(USD)</t>
  </si>
  <si>
    <t>price(USD)</t>
  </si>
  <si>
    <t>Exchange Volume(Usd)</t>
  </si>
  <si>
    <t>fees</t>
  </si>
  <si>
    <t>265662</t>
  </si>
  <si>
    <t>244531</t>
  </si>
  <si>
    <t>222820</t>
  </si>
  <si>
    <t>216653</t>
  </si>
  <si>
    <t>250911</t>
  </si>
  <si>
    <t>254889</t>
  </si>
  <si>
    <t>268330</t>
  </si>
  <si>
    <t>292290</t>
  </si>
  <si>
    <t>285356</t>
  </si>
  <si>
    <t>271587</t>
  </si>
  <si>
    <t>334012</t>
  </si>
  <si>
    <t>283515</t>
  </si>
  <si>
    <t>259250</t>
  </si>
  <si>
    <t>255421</t>
  </si>
  <si>
    <t>248544</t>
  </si>
  <si>
    <t>250823</t>
  </si>
  <si>
    <t>206935</t>
  </si>
  <si>
    <t>250837</t>
  </si>
  <si>
    <t>298896</t>
  </si>
  <si>
    <t>285566</t>
  </si>
  <si>
    <t>251029</t>
  </si>
  <si>
    <t>265718</t>
  </si>
  <si>
    <t>264756</t>
  </si>
  <si>
    <t>234638</t>
  </si>
  <si>
    <t>223398</t>
  </si>
  <si>
    <t>253155</t>
  </si>
  <si>
    <t>261751</t>
  </si>
  <si>
    <t>294027</t>
  </si>
  <si>
    <t>313816</t>
  </si>
  <si>
    <t>280845</t>
  </si>
  <si>
    <t>221982</t>
  </si>
  <si>
    <t>232551</t>
  </si>
  <si>
    <t>236468</t>
  </si>
  <si>
    <t>242149</t>
  </si>
  <si>
    <t>232653</t>
  </si>
  <si>
    <t>244907</t>
  </si>
  <si>
    <t>256345</t>
  </si>
  <si>
    <t>202947</t>
  </si>
  <si>
    <t>205413</t>
  </si>
  <si>
    <t>221900</t>
  </si>
  <si>
    <t>218232</t>
  </si>
  <si>
    <t>231450</t>
  </si>
  <si>
    <t>235540</t>
  </si>
  <si>
    <t>230508</t>
  </si>
  <si>
    <t>203610</t>
  </si>
  <si>
    <t>194193</t>
  </si>
  <si>
    <t>215938</t>
  </si>
  <si>
    <t>229350</t>
  </si>
  <si>
    <t>221922</t>
  </si>
  <si>
    <t>228994</t>
  </si>
  <si>
    <t>207487</t>
  </si>
  <si>
    <t>191093</t>
  </si>
  <si>
    <t>225884</t>
  </si>
  <si>
    <t>227293</t>
  </si>
  <si>
    <t>226429</t>
  </si>
  <si>
    <t>226989</t>
  </si>
  <si>
    <t>227649</t>
  </si>
  <si>
    <t>228702</t>
  </si>
  <si>
    <t>195214</t>
  </si>
  <si>
    <t>209047</t>
  </si>
  <si>
    <t>226902</t>
  </si>
  <si>
    <t>222463</t>
  </si>
  <si>
    <t>215536</t>
  </si>
  <si>
    <t>210535</t>
  </si>
  <si>
    <t>210842</t>
  </si>
  <si>
    <t>203516</t>
  </si>
  <si>
    <t>190616</t>
  </si>
  <si>
    <t>200173</t>
  </si>
  <si>
    <t>195509</t>
  </si>
  <si>
    <t>204142</t>
  </si>
  <si>
    <t>221281</t>
  </si>
  <si>
    <t>225127</t>
  </si>
  <si>
    <t>178008</t>
  </si>
  <si>
    <t>183083</t>
  </si>
  <si>
    <t>193085</t>
  </si>
  <si>
    <t>189325</t>
  </si>
  <si>
    <t>189675</t>
  </si>
  <si>
    <t>184723</t>
  </si>
  <si>
    <t>179264</t>
  </si>
  <si>
    <t>157442</t>
  </si>
  <si>
    <t>170697</t>
  </si>
  <si>
    <t>186133</t>
  </si>
  <si>
    <t>169030</t>
  </si>
  <si>
    <t>173440</t>
  </si>
  <si>
    <t>168851</t>
  </si>
  <si>
    <t>166443</t>
  </si>
  <si>
    <t>169638</t>
  </si>
  <si>
    <t>183801</t>
  </si>
  <si>
    <t>204709</t>
  </si>
  <si>
    <t>208574</t>
  </si>
  <si>
    <t>208897</t>
  </si>
  <si>
    <t>219777</t>
  </si>
  <si>
    <t>242449</t>
  </si>
  <si>
    <t>201500</t>
  </si>
  <si>
    <t>196600</t>
  </si>
  <si>
    <t>213050</t>
  </si>
  <si>
    <t>209816</t>
  </si>
  <si>
    <t>215197</t>
  </si>
  <si>
    <t>207145</t>
  </si>
  <si>
    <t>215039</t>
  </si>
  <si>
    <t>196351</t>
  </si>
  <si>
    <t>208200</t>
  </si>
  <si>
    <t>217353</t>
  </si>
  <si>
    <t>216436</t>
  </si>
  <si>
    <t>216882</t>
  </si>
  <si>
    <t>245115</t>
  </si>
  <si>
    <t>271124</t>
  </si>
  <si>
    <t>198739</t>
  </si>
  <si>
    <t>189308</t>
  </si>
  <si>
    <t>235446</t>
  </si>
  <si>
    <t>243552</t>
  </si>
  <si>
    <t>248537</t>
  </si>
  <si>
    <t>246655</t>
  </si>
  <si>
    <t>249639</t>
  </si>
  <si>
    <t>221027</t>
  </si>
  <si>
    <t>216106</t>
  </si>
  <si>
    <t>228944</t>
  </si>
  <si>
    <t>259751</t>
  </si>
  <si>
    <t>240315</t>
  </si>
  <si>
    <t>201241</t>
  </si>
  <si>
    <t>226012</t>
  </si>
  <si>
    <t>207807</t>
  </si>
  <si>
    <t>242318</t>
  </si>
  <si>
    <t>248361</t>
  </si>
  <si>
    <t>238362</t>
  </si>
  <si>
    <t>233171</t>
  </si>
  <si>
    <t>227287</t>
  </si>
  <si>
    <t>252831</t>
  </si>
  <si>
    <t>227783</t>
  </si>
  <si>
    <t>202437</t>
  </si>
  <si>
    <t>241998</t>
  </si>
  <si>
    <t>246085</t>
  </si>
  <si>
    <t>245096</t>
  </si>
  <si>
    <t>223394</t>
  </si>
  <si>
    <t>236332</t>
  </si>
  <si>
    <t>235004</t>
  </si>
  <si>
    <t>232085</t>
  </si>
  <si>
    <t>225716</t>
  </si>
  <si>
    <t>224604</t>
  </si>
  <si>
    <t>222635</t>
  </si>
  <si>
    <t>221499</t>
  </si>
  <si>
    <t>254918</t>
  </si>
  <si>
    <t>229164</t>
  </si>
  <si>
    <t>259984</t>
  </si>
  <si>
    <t>246292</t>
  </si>
  <si>
    <t>232182</t>
  </si>
  <si>
    <t>235787</t>
  </si>
  <si>
    <t>217978</t>
  </si>
  <si>
    <t>223147</t>
  </si>
  <si>
    <t>208557</t>
  </si>
  <si>
    <t>216396</t>
  </si>
  <si>
    <t>236867</t>
  </si>
  <si>
    <t>221154</t>
  </si>
  <si>
    <t>249354</t>
  </si>
  <si>
    <t>224851</t>
  </si>
  <si>
    <t>235606</t>
  </si>
  <si>
    <t>223132</t>
  </si>
  <si>
    <t>205018</t>
  </si>
  <si>
    <t>230963</t>
  </si>
  <si>
    <t>230274</t>
  </si>
  <si>
    <t>235547</t>
  </si>
  <si>
    <t>266499</t>
  </si>
  <si>
    <t>292341</t>
  </si>
  <si>
    <t>216844</t>
  </si>
  <si>
    <t>221405</t>
  </si>
  <si>
    <t>241015</t>
  </si>
  <si>
    <t>250765</t>
  </si>
  <si>
    <t>259729</t>
  </si>
  <si>
    <t>250432</t>
  </si>
  <si>
    <t>262679</t>
  </si>
  <si>
    <t>265502</t>
  </si>
  <si>
    <t>240779</t>
  </si>
  <si>
    <t>259703</t>
  </si>
  <si>
    <t>234636</t>
  </si>
  <si>
    <t>239803</t>
  </si>
  <si>
    <t>253402</t>
  </si>
  <si>
    <t>264179</t>
  </si>
  <si>
    <t>238197</t>
  </si>
  <si>
    <t>231301</t>
  </si>
  <si>
    <t>239952</t>
  </si>
  <si>
    <t>274529</t>
  </si>
  <si>
    <t>295977</t>
  </si>
  <si>
    <t>302837</t>
  </si>
  <si>
    <t>293855</t>
  </si>
  <si>
    <t>247334</t>
  </si>
  <si>
    <t>245068</t>
  </si>
  <si>
    <t>269456</t>
  </si>
  <si>
    <t>260626</t>
  </si>
  <si>
    <t>273467</t>
  </si>
  <si>
    <t>271428</t>
  </si>
  <si>
    <t>284591</t>
  </si>
  <si>
    <t>244529</t>
  </si>
  <si>
    <t>255541</t>
  </si>
  <si>
    <t>264053</t>
  </si>
  <si>
    <t>269712</t>
  </si>
  <si>
    <t>283208</t>
  </si>
  <si>
    <t>276792</t>
  </si>
  <si>
    <t>268107</t>
  </si>
  <si>
    <t>237994</t>
  </si>
  <si>
    <t>252755</t>
  </si>
  <si>
    <t>255526</t>
  </si>
  <si>
    <t>260509</t>
  </si>
  <si>
    <t>246000</t>
  </si>
  <si>
    <t>255081</t>
  </si>
  <si>
    <t>251483</t>
  </si>
  <si>
    <t>231585</t>
  </si>
  <si>
    <t>284750</t>
  </si>
  <si>
    <t>285832</t>
  </si>
  <si>
    <t>269797</t>
  </si>
  <si>
    <t>259693</t>
  </si>
  <si>
    <t>219856</t>
  </si>
  <si>
    <t>222642</t>
  </si>
  <si>
    <t>231316</t>
  </si>
  <si>
    <t>201919</t>
  </si>
  <si>
    <t>237296</t>
  </si>
  <si>
    <t>235020</t>
  </si>
  <si>
    <t>215166</t>
  </si>
  <si>
    <t>230533</t>
  </si>
  <si>
    <t>217868</t>
  </si>
  <si>
    <t>215113</t>
  </si>
  <si>
    <t>217764</t>
  </si>
  <si>
    <t>246239</t>
  </si>
  <si>
    <t>234016</t>
  </si>
  <si>
    <t>217447</t>
  </si>
  <si>
    <t>225908</t>
  </si>
  <si>
    <t>254632</t>
  </si>
  <si>
    <t>209730</t>
  </si>
  <si>
    <t>210965</t>
  </si>
  <si>
    <t>241300</t>
  </si>
  <si>
    <t>266721</t>
  </si>
  <si>
    <t>250192</t>
  </si>
  <si>
    <t>250195</t>
  </si>
  <si>
    <t>273425</t>
  </si>
  <si>
    <t>279792</t>
  </si>
  <si>
    <t>277064</t>
  </si>
  <si>
    <t>296253</t>
  </si>
  <si>
    <t>293094</t>
  </si>
  <si>
    <t>306686</t>
  </si>
  <si>
    <t>299259</t>
  </si>
  <si>
    <t>320341</t>
  </si>
  <si>
    <t>318097</t>
  </si>
  <si>
    <t>310362</t>
  </si>
  <si>
    <t>280262</t>
  </si>
  <si>
    <t>276280</t>
  </si>
  <si>
    <t>258942</t>
  </si>
  <si>
    <t>313812</t>
  </si>
  <si>
    <t>322121</t>
  </si>
  <si>
    <t>303180</t>
  </si>
  <si>
    <t>292297</t>
  </si>
  <si>
    <t>306330</t>
  </si>
  <si>
    <t>292229</t>
  </si>
  <si>
    <t>295214</t>
  </si>
  <si>
    <t>286020</t>
  </si>
  <si>
    <t>323288</t>
  </si>
  <si>
    <t>289102</t>
  </si>
  <si>
    <t>294917</t>
  </si>
  <si>
    <t>301690</t>
  </si>
  <si>
    <t>345015</t>
  </si>
  <si>
    <t>318018</t>
  </si>
  <si>
    <t>325295</t>
  </si>
  <si>
    <t>342713</t>
  </si>
  <si>
    <t>325900</t>
  </si>
  <si>
    <t>327441</t>
  </si>
  <si>
    <t>300800</t>
  </si>
  <si>
    <t>264336</t>
  </si>
  <si>
    <t>272400</t>
  </si>
  <si>
    <t>310986</t>
  </si>
  <si>
    <t>342889</t>
  </si>
  <si>
    <t>315434</t>
  </si>
  <si>
    <t>335531</t>
  </si>
  <si>
    <t>387947</t>
  </si>
  <si>
    <t>363699</t>
  </si>
  <si>
    <t>368593</t>
  </si>
  <si>
    <t>367696</t>
  </si>
  <si>
    <t>368814</t>
  </si>
  <si>
    <t>350970</t>
  </si>
  <si>
    <t>361596</t>
  </si>
  <si>
    <t>402719</t>
  </si>
  <si>
    <t>368304</t>
  </si>
  <si>
    <t>409873</t>
  </si>
  <si>
    <t>408340</t>
  </si>
  <si>
    <t>385355</t>
  </si>
  <si>
    <t>323243</t>
  </si>
  <si>
    <t>281165</t>
  </si>
  <si>
    <t>329710</t>
  </si>
  <si>
    <t>358453</t>
  </si>
  <si>
    <t>390949</t>
  </si>
  <si>
    <t>337051</t>
  </si>
  <si>
    <t>328177</t>
  </si>
  <si>
    <t>225375</t>
  </si>
  <si>
    <t>226290</t>
  </si>
  <si>
    <t>233406</t>
  </si>
  <si>
    <t>250055</t>
  </si>
  <si>
    <t>266501</t>
  </si>
  <si>
    <t>287126</t>
  </si>
  <si>
    <t>285437</t>
  </si>
  <si>
    <t>268810</t>
  </si>
  <si>
    <t>213952</t>
  </si>
  <si>
    <t>216613</t>
  </si>
  <si>
    <t>248749</t>
  </si>
  <si>
    <t>227124</t>
  </si>
  <si>
    <t>229396</t>
  </si>
  <si>
    <t>233289</t>
  </si>
  <si>
    <t>194679</t>
  </si>
  <si>
    <t>249733</t>
  </si>
  <si>
    <t>367633</t>
  </si>
  <si>
    <t>387760</t>
  </si>
  <si>
    <t>375753</t>
  </si>
  <si>
    <t>366153</t>
  </si>
  <si>
    <t>479603</t>
  </si>
  <si>
    <t>341624</t>
  </si>
  <si>
    <t>330058</t>
  </si>
  <si>
    <t>374567</t>
  </si>
  <si>
    <t>369141</t>
  </si>
  <si>
    <t>375822</t>
  </si>
  <si>
    <t>364511</t>
  </si>
  <si>
    <t>329955</t>
  </si>
  <si>
    <t>316566</t>
  </si>
  <si>
    <t>299072</t>
  </si>
  <si>
    <t>378227</t>
  </si>
  <si>
    <t>362151</t>
  </si>
  <si>
    <t>358451</t>
  </si>
  <si>
    <t>337753</t>
  </si>
  <si>
    <t>384747</t>
  </si>
  <si>
    <t>388784</t>
  </si>
  <si>
    <t>382919</t>
  </si>
  <si>
    <t>357935</t>
  </si>
  <si>
    <t>395148</t>
  </si>
  <si>
    <t>368496</t>
  </si>
  <si>
    <t>374314</t>
  </si>
  <si>
    <t>388905</t>
  </si>
  <si>
    <t>408189</t>
  </si>
  <si>
    <t>394145</t>
  </si>
  <si>
    <t>365993</t>
  </si>
  <si>
    <t>410575</t>
  </si>
  <si>
    <t>404788</t>
  </si>
  <si>
    <t>401387</t>
  </si>
  <si>
    <t>438415</t>
  </si>
  <si>
    <t>393678</t>
  </si>
  <si>
    <t>370233</t>
  </si>
  <si>
    <t>386639</t>
  </si>
  <si>
    <t>410528</t>
  </si>
  <si>
    <t>401870</t>
  </si>
  <si>
    <t>417018</t>
  </si>
  <si>
    <t>389890</t>
  </si>
  <si>
    <t>376987</t>
  </si>
  <si>
    <t>419000</t>
  </si>
  <si>
    <t>407181</t>
  </si>
  <si>
    <t>405108</t>
  </si>
  <si>
    <t>404850</t>
  </si>
  <si>
    <t>394958</t>
  </si>
  <si>
    <t>389529</t>
  </si>
  <si>
    <t>350873</t>
  </si>
  <si>
    <t>372003</t>
  </si>
  <si>
    <t>381228</t>
  </si>
  <si>
    <t>384351</t>
  </si>
  <si>
    <t>383315</t>
  </si>
  <si>
    <t>395700</t>
  </si>
  <si>
    <t>396944</t>
  </si>
  <si>
    <t>367165</t>
  </si>
  <si>
    <t>389456</t>
  </si>
  <si>
    <t>638526</t>
  </si>
  <si>
    <t>386468</t>
  </si>
  <si>
    <t>354322</t>
  </si>
  <si>
    <t>318285</t>
  </si>
  <si>
    <t>187589750.62809312</t>
  </si>
  <si>
    <t>91597284.03861901</t>
  </si>
  <si>
    <t>4183805993.5844107</t>
  </si>
  <si>
    <t>67.95</t>
  </si>
  <si>
    <t>3065300354.0</t>
  </si>
  <si>
    <t>75066</t>
  </si>
  <si>
    <t>64.2482260155</t>
  </si>
  <si>
    <t>135617522.87073022</t>
  </si>
  <si>
    <t>53696265.53385624</t>
  </si>
  <si>
    <t>4295459811.142143</t>
  </si>
  <si>
    <t>69.78</t>
  </si>
  <si>
    <t>2532498296.0</t>
  </si>
  <si>
    <t>67903</t>
  </si>
  <si>
    <t>69.7796504022</t>
  </si>
  <si>
    <t>137363453.99098945</t>
  </si>
  <si>
    <t>56867784.76725476</t>
  </si>
  <si>
    <t>4438184268.240929</t>
  </si>
  <si>
    <t>72.12</t>
  </si>
  <si>
    <t>2362638270.0</t>
  </si>
  <si>
    <t>64741</t>
  </si>
  <si>
    <t>63.63498752280001</t>
  </si>
  <si>
    <t>119890216.60656919</t>
  </si>
  <si>
    <t>33477689.216735892</t>
  </si>
  <si>
    <t>4504499992.782862</t>
  </si>
  <si>
    <t>73.21</t>
  </si>
  <si>
    <t>2059777054.0</t>
  </si>
  <si>
    <t>65177</t>
  </si>
  <si>
    <t>63.8599936352</t>
  </si>
  <si>
    <t>207513677.22058636</t>
  </si>
  <si>
    <t>93390920.5009803</t>
  </si>
  <si>
    <t>4389324613.90372</t>
  </si>
  <si>
    <t>71.36</t>
  </si>
  <si>
    <t>3041612619.0</t>
  </si>
  <si>
    <t>72692</t>
  </si>
  <si>
    <t>67.5754109824</t>
  </si>
  <si>
    <t>151949746.7227237</t>
  </si>
  <si>
    <t>65238873.43254759</t>
  </si>
  <si>
    <t>4504661404.02807</t>
  </si>
  <si>
    <t>73.25</t>
  </si>
  <si>
    <t>2754712046.0</t>
  </si>
  <si>
    <t>68825</t>
  </si>
  <si>
    <t>71.6037795</t>
  </si>
  <si>
    <t>328261847.2909434</t>
  </si>
  <si>
    <t>119702757.53702985</t>
  </si>
  <si>
    <t>4595949347.987996</t>
  </si>
  <si>
    <t>74.75</t>
  </si>
  <si>
    <t>3347048436.0</t>
  </si>
  <si>
    <t>72170</t>
  </si>
  <si>
    <t>78.933211825</t>
  </si>
  <si>
    <t>230839468.7580743</t>
  </si>
  <si>
    <t>137639116.6261257</t>
  </si>
  <si>
    <t>4723782767.334002</t>
  </si>
  <si>
    <t>76.85</t>
  </si>
  <si>
    <t>2920088567.9999995</t>
  </si>
  <si>
    <t>75530</t>
  </si>
  <si>
    <t>73.2867352435</t>
  </si>
  <si>
    <t>186694602.01284245</t>
  </si>
  <si>
    <t>91590872.18726903</t>
  </si>
  <si>
    <t>4749918653.434438</t>
  </si>
  <si>
    <t>77.29</t>
  </si>
  <si>
    <t>2657300819.0000005</t>
  </si>
  <si>
    <t>63490</t>
  </si>
  <si>
    <t>77.27284162000001</t>
  </si>
  <si>
    <t>291321437.5706991</t>
  </si>
  <si>
    <t>145246478.3369702</t>
  </si>
  <si>
    <t>5008975808.636234</t>
  </si>
  <si>
    <t>81.52</t>
  </si>
  <si>
    <t>2957685726.0</t>
  </si>
  <si>
    <t>58751</t>
  </si>
  <si>
    <t>75.5126069648</t>
  </si>
  <si>
    <t>163157966.51970878</t>
  </si>
  <si>
    <t>66600028.057492</t>
  </si>
  <si>
    <t>5071126296.307815</t>
  </si>
  <si>
    <t>82.55</t>
  </si>
  <si>
    <t>2422737857.0</t>
  </si>
  <si>
    <t>66100</t>
  </si>
  <si>
    <t>59.0092222785</t>
  </si>
  <si>
    <t>181064297.93730012</t>
  </si>
  <si>
    <t>78661352.52442932</t>
  </si>
  <si>
    <t>5042120639.164345</t>
  </si>
  <si>
    <t>82.1</t>
  </si>
  <si>
    <t>2608961075.0</t>
  </si>
  <si>
    <t>71164</t>
  </si>
  <si>
    <t>62.755850047</t>
  </si>
  <si>
    <t>172277915.44292396</t>
  </si>
  <si>
    <t>81905635.50186686</t>
  </si>
  <si>
    <t>4874886046.900695</t>
  </si>
  <si>
    <t>79.39</t>
  </si>
  <si>
    <t>2616912436.0</t>
  </si>
  <si>
    <t>75100</t>
  </si>
  <si>
    <t>66.5720692903</t>
  </si>
  <si>
    <t>153677186.57791743</t>
  </si>
  <si>
    <t>70009513.21122126</t>
  </si>
  <si>
    <t>4993539548.98147</t>
  </si>
  <si>
    <t>81.35</t>
  </si>
  <si>
    <t>2060101784.0</t>
  </si>
  <si>
    <t>67996</t>
  </si>
  <si>
    <t>63.442520492999996</t>
  </si>
  <si>
    <t>317976705.40009284</t>
  </si>
  <si>
    <t>165494686.1349824</t>
  </si>
  <si>
    <t>4850768898.171359</t>
  </si>
  <si>
    <t>79.04</t>
  </si>
  <si>
    <t>2176907331.0</t>
  </si>
  <si>
    <t>69403</t>
  </si>
  <si>
    <t>61.21901718400001</t>
  </si>
  <si>
    <t>183349342.64999714</t>
  </si>
  <si>
    <t>91317371.11230738</t>
  </si>
  <si>
    <t>5093579177.481974</t>
  </si>
  <si>
    <t>83.01</t>
  </si>
  <si>
    <t>2742760721.0</t>
  </si>
  <si>
    <t>72099</t>
  </si>
  <si>
    <t>62.7585085152</t>
  </si>
  <si>
    <t>87556069.18868907</t>
  </si>
  <si>
    <t>39692820.57376261</t>
  </si>
  <si>
    <t>4796842763.571257</t>
  </si>
  <si>
    <t>78.2</t>
  </si>
  <si>
    <t>2328308745.0</t>
  </si>
  <si>
    <t>66144</t>
  </si>
  <si>
    <t>50.59172538200001</t>
  </si>
  <si>
    <t>195087309.80404904</t>
  </si>
  <si>
    <t>94359276.39849499</t>
  </si>
  <si>
    <t>4841834203.625032</t>
  </si>
  <si>
    <t>78.95</t>
  </si>
  <si>
    <t>2379257754.0</t>
  </si>
  <si>
    <t>63148</t>
  </si>
  <si>
    <t>54.930252</t>
  </si>
  <si>
    <t>298756397.55447215</t>
  </si>
  <si>
    <t>150964734.06164932</t>
  </si>
  <si>
    <t>4882554018.338526</t>
  </si>
  <si>
    <t>79.63</t>
  </si>
  <si>
    <t>2839796021.9999995</t>
  </si>
  <si>
    <t>68304</t>
  </si>
  <si>
    <t>59.160810683799994</t>
  </si>
  <si>
    <t>502665856.50881296</t>
  </si>
  <si>
    <t>272754400.7520666</t>
  </si>
  <si>
    <t>5418036327.811245</t>
  </si>
  <si>
    <t>88.39</t>
  </si>
  <si>
    <t>3461536000.0</t>
  </si>
  <si>
    <t>102834</t>
  </si>
  <si>
    <t>75.83792348680001</t>
  </si>
  <si>
    <t>199576094.05468357</t>
  </si>
  <si>
    <t>91364166.65500508</t>
  </si>
  <si>
    <t>5317490760.1975565</t>
  </si>
  <si>
    <t>86.77</t>
  </si>
  <si>
    <t>2765900677.0</t>
  </si>
  <si>
    <t>99837</t>
  </si>
  <si>
    <t>66.1258846418</t>
  </si>
  <si>
    <t>189186774.0434375</t>
  </si>
  <si>
    <t>88341032.18329972</t>
  </si>
  <si>
    <t>5483491946.042171</t>
  </si>
  <si>
    <t>89.5</t>
  </si>
  <si>
    <t>2742631078.0</t>
  </si>
  <si>
    <t>70669</t>
  </si>
  <si>
    <t>80.62897838</t>
  </si>
  <si>
    <t>240078000.02791443</t>
  </si>
  <si>
    <t>94045449.00219788</t>
  </si>
  <si>
    <t>5656033696.370656</t>
  </si>
  <si>
    <t>92.33</t>
  </si>
  <si>
    <t>3295695862.0</t>
  </si>
  <si>
    <t>140714</t>
  </si>
  <si>
    <t>78.1225679822</t>
  </si>
  <si>
    <t>188144174.37674752</t>
  </si>
  <si>
    <t>59187195.31893126</t>
  </si>
  <si>
    <t>5660143518.910411</t>
  </si>
  <si>
    <t>92.42</t>
  </si>
  <si>
    <t>3314848880.0</t>
  </si>
  <si>
    <t>162384</t>
  </si>
  <si>
    <t>69.6062699478</t>
  </si>
  <si>
    <t>229047769.65210044</t>
  </si>
  <si>
    <t>75537262.3720996</t>
  </si>
  <si>
    <t>5431633162.968132</t>
  </si>
  <si>
    <t>88.71</t>
  </si>
  <si>
    <t>3857950929.0</t>
  </si>
  <si>
    <t>73882</t>
  </si>
  <si>
    <t>78.872087613</t>
  </si>
  <si>
    <t>256371932.82964495</t>
  </si>
  <si>
    <t>89944182.87315221</t>
  </si>
  <si>
    <t>5205337497.494813</t>
  </si>
  <si>
    <t>85.04</t>
  </si>
  <si>
    <t>3512861847.0</t>
  </si>
  <si>
    <t>77797</t>
  </si>
  <si>
    <t>77.9993666192</t>
  </si>
  <si>
    <t>300489327.39505535</t>
  </si>
  <si>
    <t>155242591.96326303</t>
  </si>
  <si>
    <t>5212236932.299953</t>
  </si>
  <si>
    <t>85.17</t>
  </si>
  <si>
    <t>4195622761.0</t>
  </si>
  <si>
    <t>83650</t>
  </si>
  <si>
    <t>89.4285</t>
  </si>
  <si>
    <t>411636341.64397746</t>
  </si>
  <si>
    <t>176339174.86352363</t>
  </si>
  <si>
    <t>4665896238.510127</t>
  </si>
  <si>
    <t>76.26</t>
  </si>
  <si>
    <t>6206102119.0</t>
  </si>
  <si>
    <t>105006</t>
  </si>
  <si>
    <t>130.83575344980002</t>
  </si>
  <si>
    <t>454411040.87618476</t>
  </si>
  <si>
    <t>168097174.22685832</t>
  </si>
  <si>
    <t>3713026798.025988</t>
  </si>
  <si>
    <t>60.7</t>
  </si>
  <si>
    <t>4161362861.0</t>
  </si>
  <si>
    <t>94751</t>
  </si>
  <si>
    <t>60.6851892</t>
  </si>
  <si>
    <t>137443601.28271133</t>
  </si>
  <si>
    <t>62976253.105243474</t>
  </si>
  <si>
    <t>3716068172.337838</t>
  </si>
  <si>
    <t>60.77</t>
  </si>
  <si>
    <t>1712538382.0</t>
  </si>
  <si>
    <t>79095</t>
  </si>
  <si>
    <t>51.168947700000004</t>
  </si>
  <si>
    <t>95442105.8122647</t>
  </si>
  <si>
    <t>38083220.82724948</t>
  </si>
  <si>
    <t>3707035737.300856</t>
  </si>
  <si>
    <t>60.64</t>
  </si>
  <si>
    <t>1646531872.0</t>
  </si>
  <si>
    <t>67232</t>
  </si>
  <si>
    <t>44.0864497456</t>
  </si>
  <si>
    <t>92728831.76082952</t>
  </si>
  <si>
    <t>32642781.10261175</t>
  </si>
  <si>
    <t>3743819884.670901</t>
  </si>
  <si>
    <t>61.25</t>
  </si>
  <si>
    <t>1698116593.0</t>
  </si>
  <si>
    <t>70627</t>
  </si>
  <si>
    <t>41.31385755</t>
  </si>
  <si>
    <t>204338950.12333485</t>
  </si>
  <si>
    <t>97458219.64579162</t>
  </si>
  <si>
    <t>3737991285.2804246</t>
  </si>
  <si>
    <t>61.17</t>
  </si>
  <si>
    <t>1977436351.0</t>
  </si>
  <si>
    <t>71467</t>
  </si>
  <si>
    <t>53.39211460680001</t>
  </si>
  <si>
    <t>137770088.41226888</t>
  </si>
  <si>
    <t>60900606.60326077</t>
  </si>
  <si>
    <t>3801151830.0872974</t>
  </si>
  <si>
    <t>62.22</t>
  </si>
  <si>
    <t>1818355774.0</t>
  </si>
  <si>
    <t>65938</t>
  </si>
  <si>
    <t>66.8816580396</t>
  </si>
  <si>
    <t>125959141.73384917</t>
  </si>
  <si>
    <t>50809360.40785365</t>
  </si>
  <si>
    <t>3628598734.8710036</t>
  </si>
  <si>
    <t>59.41</t>
  </si>
  <si>
    <t>2220590688.0</t>
  </si>
  <si>
    <t>68489</t>
  </si>
  <si>
    <t>75.62893</t>
  </si>
  <si>
    <t>115837490.20045568</t>
  </si>
  <si>
    <t>47761033.66762353</t>
  </si>
  <si>
    <t>3633956879.2366023</t>
  </si>
  <si>
    <t>59.51</t>
  </si>
  <si>
    <t>2020400713.0</t>
  </si>
  <si>
    <t>63463</t>
  </si>
  <si>
    <t>75.24478558739999</t>
  </si>
  <si>
    <t>130458724.07517204</t>
  </si>
  <si>
    <t>64136744.66682873</t>
  </si>
  <si>
    <t>3680901280.179832</t>
  </si>
  <si>
    <t>60.3</t>
  </si>
  <si>
    <t>2057863894.0000002</t>
  </si>
  <si>
    <t>69739</t>
  </si>
  <si>
    <t>75.497787684</t>
  </si>
  <si>
    <t>86699651.08239931</t>
  </si>
  <si>
    <t>32575114.61522021</t>
  </si>
  <si>
    <t>3737776686.1760216</t>
  </si>
  <si>
    <t>61.24</t>
  </si>
  <si>
    <t>2041814465.0</t>
  </si>
  <si>
    <t>59230</t>
  </si>
  <si>
    <t>60.7427636572</t>
  </si>
  <si>
    <t>91070338.9215111</t>
  </si>
  <si>
    <t>38176740.564029016</t>
  </si>
  <si>
    <t>3648094874.626895</t>
  </si>
  <si>
    <t>59.79</t>
  </si>
  <si>
    <t>2009701789.9999998</t>
  </si>
  <si>
    <t>65345</t>
  </si>
  <si>
    <t>62.4138638214</t>
  </si>
  <si>
    <t>112289500.69788983</t>
  </si>
  <si>
    <t>42417844.31985234</t>
  </si>
  <si>
    <t>3617630118.202942</t>
  </si>
  <si>
    <t>59.3</t>
  </si>
  <si>
    <t>1660894830.0</t>
  </si>
  <si>
    <t>71925</t>
  </si>
  <si>
    <t>63.442916817</t>
  </si>
  <si>
    <t>112893305.33984599</t>
  </si>
  <si>
    <t>35037440.826175295</t>
  </si>
  <si>
    <t>3712098579.1758165</t>
  </si>
  <si>
    <t>60.87</t>
  </si>
  <si>
    <t>1766689848.0</t>
  </si>
  <si>
    <t>67136</t>
  </si>
  <si>
    <t>73.60802142</t>
  </si>
  <si>
    <t>111759554.81961204</t>
  </si>
  <si>
    <t>38315978.50054069</t>
  </si>
  <si>
    <t>3699533792.460148</t>
  </si>
  <si>
    <t>60.68</t>
  </si>
  <si>
    <t>1990264182.0</t>
  </si>
  <si>
    <t>65862</t>
  </si>
  <si>
    <t>63.851784255599995</t>
  </si>
  <si>
    <t>215383470.2908171</t>
  </si>
  <si>
    <t>96066420.05976972</t>
  </si>
  <si>
    <t>3670564372.9643683</t>
  </si>
  <si>
    <t>60.22</t>
  </si>
  <si>
    <t>1824124623.0</t>
  </si>
  <si>
    <t>68198</t>
  </si>
  <si>
    <t>74.6294699034</t>
  </si>
  <si>
    <t>168971420.59130153</t>
  </si>
  <si>
    <t>80585126.08291206</t>
  </si>
  <si>
    <t>3734893284.4102225</t>
  </si>
  <si>
    <t>61.28</t>
  </si>
  <si>
    <t>1971826811.0</t>
  </si>
  <si>
    <t>66569</t>
  </si>
  <si>
    <t>75.1550960384</t>
  </si>
  <si>
    <t>106448712.31989916</t>
  </si>
  <si>
    <t>47787217.206233196</t>
  </si>
  <si>
    <t>3770420951.369693</t>
  </si>
  <si>
    <t>61.88</t>
  </si>
  <si>
    <t>1609232029.0</t>
  </si>
  <si>
    <t>58388</t>
  </si>
  <si>
    <t>61.86811904</t>
  </si>
  <si>
    <t>89077219.3051291</t>
  </si>
  <si>
    <t>44616146.197797835</t>
  </si>
  <si>
    <t>3593452102.015524</t>
  </si>
  <si>
    <t>58.99</t>
  </si>
  <si>
    <t>1997899600.9999998</t>
  </si>
  <si>
    <t>69397</t>
  </si>
  <si>
    <t>67.3957552742</t>
  </si>
  <si>
    <t>92221695.65627956</t>
  </si>
  <si>
    <t>41202466.1447397</t>
  </si>
  <si>
    <t>3443093583.808103</t>
  </si>
  <si>
    <t>56.54</t>
  </si>
  <si>
    <t>1824454595.0</t>
  </si>
  <si>
    <t>71813</t>
  </si>
  <si>
    <t>67.5018406348</t>
  </si>
  <si>
    <t>95478710.40869197</t>
  </si>
  <si>
    <t>38929104.74196199</t>
  </si>
  <si>
    <t>3401162528.417815</t>
  </si>
  <si>
    <t>55.86</t>
  </si>
  <si>
    <t>1610293200.0</t>
  </si>
  <si>
    <t>67445</t>
  </si>
  <si>
    <t>61.8008433882</t>
  </si>
  <si>
    <t>94170324.3925341</t>
  </si>
  <si>
    <t>36531673.77898807</t>
  </si>
  <si>
    <t>3474538196.4963346</t>
  </si>
  <si>
    <t>57.08</t>
  </si>
  <si>
    <t>1465625295.0</t>
  </si>
  <si>
    <t>74926</t>
  </si>
  <si>
    <t>64.9156507212</t>
  </si>
  <si>
    <t>112953707.08482501</t>
  </si>
  <si>
    <t>46333156.35660016</t>
  </si>
  <si>
    <t>3371723018.438947</t>
  </si>
  <si>
    <t>55.41</t>
  </si>
  <si>
    <t>1666711996.0</t>
  </si>
  <si>
    <t>69376</t>
  </si>
  <si>
    <t>75.4753922403</t>
  </si>
  <si>
    <t>99268121.22333032</t>
  </si>
  <si>
    <t>44849004.99236448</t>
  </si>
  <si>
    <t>3479448013.389931</t>
  </si>
  <si>
    <t>57.19</t>
  </si>
  <si>
    <t>1839260243.0</t>
  </si>
  <si>
    <t>69947</t>
  </si>
  <si>
    <t>70.8457956017</t>
  </si>
  <si>
    <t>57364955.29871922</t>
  </si>
  <si>
    <t>31069731.503975507</t>
  </si>
  <si>
    <t>3533993165.626093</t>
  </si>
  <si>
    <t>58.1</t>
  </si>
  <si>
    <t>1778709344.0</t>
  </si>
  <si>
    <t>61730</t>
  </si>
  <si>
    <t>58.099712405</t>
  </si>
  <si>
    <t>88931114.30783103</t>
  </si>
  <si>
    <t>40097464.91643984</t>
  </si>
  <si>
    <t>3405157442.7268033</t>
  </si>
  <si>
    <t>56.0</t>
  </si>
  <si>
    <t>2145350395.0</t>
  </si>
  <si>
    <t>72278</t>
  </si>
  <si>
    <t>61.59999944</t>
  </si>
  <si>
    <t>181237282.76863503</t>
  </si>
  <si>
    <t>83763266.42893766</t>
  </si>
  <si>
    <t>3492055984.3422456</t>
  </si>
  <si>
    <t>57.44</t>
  </si>
  <si>
    <t>1977538387.0</t>
  </si>
  <si>
    <t>74092</t>
  </si>
  <si>
    <t>67.6306613088</t>
  </si>
  <si>
    <t>204048939.69108787</t>
  </si>
  <si>
    <t>94588108.96632342</t>
  </si>
  <si>
    <t>3393943158.126946</t>
  </si>
  <si>
    <t>55.84</t>
  </si>
  <si>
    <t>2410843754.0</t>
  </si>
  <si>
    <t>84595</t>
  </si>
  <si>
    <t>81.1775580272</t>
  </si>
  <si>
    <t>136215729.68365443</t>
  </si>
  <si>
    <t>65636611.635597095</t>
  </si>
  <si>
    <t>3222071591.465041</t>
  </si>
  <si>
    <t>53.02</t>
  </si>
  <si>
    <t>1998850452.0</t>
  </si>
  <si>
    <t>76349</t>
  </si>
  <si>
    <t>74.61963859240001</t>
  </si>
  <si>
    <t>167953672.81631705</t>
  </si>
  <si>
    <t>77859606.83248654</t>
  </si>
  <si>
    <t>2826307365.6412573</t>
  </si>
  <si>
    <t>46.52</t>
  </si>
  <si>
    <t>2000300862.0000002</t>
  </si>
  <si>
    <t>76399</t>
  </si>
  <si>
    <t>67.13634097120001</t>
  </si>
  <si>
    <t>87791892.61239967</t>
  </si>
  <si>
    <t>40211386.13389485</t>
  </si>
  <si>
    <t>2935506038.4934306</t>
  </si>
  <si>
    <t>48.33</t>
  </si>
  <si>
    <t>1243464082.0</t>
  </si>
  <si>
    <t>74568</t>
  </si>
  <si>
    <t>52.0705738116</t>
  </si>
  <si>
    <t>50029353.003431</t>
  </si>
  <si>
    <t>26779906.724699214</t>
  </si>
  <si>
    <t>2976541634.6911945</t>
  </si>
  <si>
    <t>49.02</t>
  </si>
  <si>
    <t>1102677211.0</t>
  </si>
  <si>
    <t>62119</t>
  </si>
  <si>
    <t>49.919534157</t>
  </si>
  <si>
    <t>83522106.11831997</t>
  </si>
  <si>
    <t>31927474.12409323</t>
  </si>
  <si>
    <t>2882022836.940024</t>
  </si>
  <si>
    <t>47.48</t>
  </si>
  <si>
    <t>1227656624.0</t>
  </si>
  <si>
    <t>68264</t>
  </si>
  <si>
    <t>47.43252</t>
  </si>
  <si>
    <t>98941604.11286694</t>
  </si>
  <si>
    <t>39434703.942984425</t>
  </si>
  <si>
    <t>2806183406.248052</t>
  </si>
  <si>
    <t>46.24</t>
  </si>
  <si>
    <t>1175425172.0</t>
  </si>
  <si>
    <t>76385</t>
  </si>
  <si>
    <t>50.5288136384</t>
  </si>
  <si>
    <t>144679056.20989633</t>
  </si>
  <si>
    <t>58792672.931238994</t>
  </si>
  <si>
    <t>2767898258.384083</t>
  </si>
  <si>
    <t>45.62</t>
  </si>
  <si>
    <t>1119495712.0</t>
  </si>
  <si>
    <t>67625</t>
  </si>
  <si>
    <t>52.667852960400005</t>
  </si>
  <si>
    <t>132207058.44618227</t>
  </si>
  <si>
    <t>40400323.43741303</t>
  </si>
  <si>
    <t>2760260182.2838964</t>
  </si>
  <si>
    <t>45.5</t>
  </si>
  <si>
    <t>1061879935.0</t>
  </si>
  <si>
    <t>67738</t>
  </si>
  <si>
    <t>51.220512525000004</t>
  </si>
  <si>
    <t>146871617.92747393</t>
  </si>
  <si>
    <t>66118797.62950451</t>
  </si>
  <si>
    <t>2800806283.8848095</t>
  </si>
  <si>
    <t>46.18</t>
  </si>
  <si>
    <t>1060325373.0</t>
  </si>
  <si>
    <t>67280</t>
  </si>
  <si>
    <t>52.3188533288</t>
  </si>
  <si>
    <t>92707205.10861434</t>
  </si>
  <si>
    <t>50882876.57811348</t>
  </si>
  <si>
    <t>2703210210.786843</t>
  </si>
  <si>
    <t>44.58</t>
  </si>
  <si>
    <t>1212141472.0</t>
  </si>
  <si>
    <t>71475</t>
  </si>
  <si>
    <t>52.866616439400005</t>
  </si>
  <si>
    <t>214149356.909063</t>
  </si>
  <si>
    <t>80412973.59588785</t>
  </si>
  <si>
    <t>3132676365.113697</t>
  </si>
  <si>
    <t>51.68</t>
  </si>
  <si>
    <t>1618048131.0</t>
  </si>
  <si>
    <t>73150</t>
  </si>
  <si>
    <t>74.22144648</t>
  </si>
  <si>
    <t>77655055.12299995</t>
  </si>
  <si>
    <t>32873678.385723345</t>
  </si>
  <si>
    <t>3010270210.311146</t>
  </si>
  <si>
    <t>49.67</t>
  </si>
  <si>
    <t>1278039837.0</t>
  </si>
  <si>
    <t>69524</t>
  </si>
  <si>
    <t>52.4111770326</t>
  </si>
  <si>
    <t>80109710.58272244</t>
  </si>
  <si>
    <t>41612152.53466727</t>
  </si>
  <si>
    <t>2976480787.0887375</t>
  </si>
  <si>
    <t>49.13</t>
  </si>
  <si>
    <t>1213665948.0</t>
  </si>
  <si>
    <t>74843</t>
  </si>
  <si>
    <t>50.5163640964</t>
  </si>
  <si>
    <t>111012618.46070565</t>
  </si>
  <si>
    <t>54431161.310049355</t>
  </si>
  <si>
    <t>3140292570.394304</t>
  </si>
  <si>
    <t>51.84</t>
  </si>
  <si>
    <t>1259734341.0</t>
  </si>
  <si>
    <t>71972</t>
  </si>
  <si>
    <t>55.404610156800004</t>
  </si>
  <si>
    <t>127195662.53284383</t>
  </si>
  <si>
    <t>58581376.14880191</t>
  </si>
  <si>
    <t>2895738583.8687005</t>
  </si>
  <si>
    <t>47.82</t>
  </si>
  <si>
    <t>1582934318.0</t>
  </si>
  <si>
    <t>76874</t>
  </si>
  <si>
    <t>59.102857382399996</t>
  </si>
  <si>
    <t>102879870.50371112</t>
  </si>
  <si>
    <t>54214706.9445073</t>
  </si>
  <si>
    <t>2914926000.0020895</t>
  </si>
  <si>
    <t>48.14</t>
  </si>
  <si>
    <t>1417050580.0</t>
  </si>
  <si>
    <t>74514</t>
  </si>
  <si>
    <t>63.9368993372</t>
  </si>
  <si>
    <t>100477559.3692442</t>
  </si>
  <si>
    <t>54127165.95590597</t>
  </si>
  <si>
    <t>2656234187.9858456</t>
  </si>
  <si>
    <t>43.88</t>
  </si>
  <si>
    <t>1462180271.0</t>
  </si>
  <si>
    <t>82531</t>
  </si>
  <si>
    <t>57.338904754800005</t>
  </si>
  <si>
    <t>80851060.8505482</t>
  </si>
  <si>
    <t>41858827.105101846</t>
  </si>
  <si>
    <t>2626252408.991577</t>
  </si>
  <si>
    <t>43.4</t>
  </si>
  <si>
    <t>1089205822.0</t>
  </si>
  <si>
    <t>66806</t>
  </si>
  <si>
    <t>52.401987638</t>
  </si>
  <si>
    <t>64618132.87956008</t>
  </si>
  <si>
    <t>37917032.1709094</t>
  </si>
  <si>
    <t>2587279728.0789165</t>
  </si>
  <si>
    <t>42.76</t>
  </si>
  <si>
    <t>1017844635.0000001</t>
  </si>
  <si>
    <t>69382</t>
  </si>
  <si>
    <t>42.7443528332</t>
  </si>
  <si>
    <t>165750682.5408147</t>
  </si>
  <si>
    <t>102262847.47519545</t>
  </si>
  <si>
    <t>2518594653.990632</t>
  </si>
  <si>
    <t>41.64</t>
  </si>
  <si>
    <t>1043820661.0</t>
  </si>
  <si>
    <t>72198</t>
  </si>
  <si>
    <t>45.784405048800004</t>
  </si>
  <si>
    <t>207004356.76655695</t>
  </si>
  <si>
    <t>149628528.1031679</t>
  </si>
  <si>
    <t>2532544213.354467</t>
  </si>
  <si>
    <t>41.88</t>
  </si>
  <si>
    <t>997741394.0000001</t>
  </si>
  <si>
    <t>73926</t>
  </si>
  <si>
    <t>49.484895388800005</t>
  </si>
  <si>
    <t>123407366.45193955</t>
  </si>
  <si>
    <t>89865189.92119211</t>
  </si>
  <si>
    <t>2649647679.7821426</t>
  </si>
  <si>
    <t>43.83</t>
  </si>
  <si>
    <t>1087815590.0</t>
  </si>
  <si>
    <t>74791</t>
  </si>
  <si>
    <t>57.8405018799</t>
  </si>
  <si>
    <t>151836188.99383548</t>
  </si>
  <si>
    <t>100339380.87689447</t>
  </si>
  <si>
    <t>2609180964.5702257</t>
  </si>
  <si>
    <t>43.17</t>
  </si>
  <si>
    <t>1098569294.0</t>
  </si>
  <si>
    <t>69820</t>
  </si>
  <si>
    <t>50.6143431567</t>
  </si>
  <si>
    <t>107655153.81438877</t>
  </si>
  <si>
    <t>64319802.985086866</t>
  </si>
  <si>
    <t>2832981995.2533584</t>
  </si>
  <si>
    <t>46.88</t>
  </si>
  <si>
    <t>1229169302.0</t>
  </si>
  <si>
    <t>75195</t>
  </si>
  <si>
    <t>53.501298852800005</t>
  </si>
  <si>
    <t>151859799.50560158</t>
  </si>
  <si>
    <t>103204495.85855545</t>
  </si>
  <si>
    <t>2703891328.3613067</t>
  </si>
  <si>
    <t>44.76</t>
  </si>
  <si>
    <t>1420578823.0</t>
  </si>
  <si>
    <t>72653</t>
  </si>
  <si>
    <t>53.3707076856</t>
  </si>
  <si>
    <t>115873370.91792482</t>
  </si>
  <si>
    <t>62506169.65736348</t>
  </si>
  <si>
    <t>2598297457.1373076</t>
  </si>
  <si>
    <t>43.02</t>
  </si>
  <si>
    <t>1509978243.0</t>
  </si>
  <si>
    <t>77393</t>
  </si>
  <si>
    <t>51.285645979200005</t>
  </si>
  <si>
    <t>130132680.85157928</t>
  </si>
  <si>
    <t>63903389.00991731</t>
  </si>
  <si>
    <t>2007338107.0768523</t>
  </si>
  <si>
    <t>33.24</t>
  </si>
  <si>
    <t>1721691113.0</t>
  </si>
  <si>
    <t>84350</t>
  </si>
  <si>
    <t>63.14710564080001</t>
  </si>
  <si>
    <t>50017685.04995984</t>
  </si>
  <si>
    <t>25035736.204151414</t>
  </si>
  <si>
    <t>1986880239.694461</t>
  </si>
  <si>
    <t>32.91</t>
  </si>
  <si>
    <t>652002936.0</t>
  </si>
  <si>
    <t>68216</t>
  </si>
  <si>
    <t>41.327729673</t>
  </si>
  <si>
    <t>50286750.37970826</t>
  </si>
  <si>
    <t>30632122.46143278</t>
  </si>
  <si>
    <t>2073350677.5842698</t>
  </si>
  <si>
    <t>34.35</t>
  </si>
  <si>
    <t>748545365.9999999</t>
  </si>
  <si>
    <t>65601</t>
  </si>
  <si>
    <t>42.3511032495</t>
  </si>
  <si>
    <t>51895458.80703005</t>
  </si>
  <si>
    <t>26482009.564960536</t>
  </si>
  <si>
    <t>2051944739.326328</t>
  </si>
  <si>
    <t>34.01</t>
  </si>
  <si>
    <t>708712284.0</t>
  </si>
  <si>
    <t>64051</t>
  </si>
  <si>
    <t>38.933878013599994</t>
  </si>
  <si>
    <t>68851017.00066903</t>
  </si>
  <si>
    <t>38783527.53475391</t>
  </si>
  <si>
    <t>2018389334.4415128</t>
  </si>
  <si>
    <t>33.46</t>
  </si>
  <si>
    <t>740036504.0</t>
  </si>
  <si>
    <t>68015</t>
  </si>
  <si>
    <t>39.880492176000004</t>
  </si>
  <si>
    <t>74968231.99526048</t>
  </si>
  <si>
    <t>32936966.794670846</t>
  </si>
  <si>
    <t>2076446991.5263157</t>
  </si>
  <si>
    <t>34.43</t>
  </si>
  <si>
    <t>820461891.0</t>
  </si>
  <si>
    <t>68109</t>
  </si>
  <si>
    <t>54.567556464300004</t>
  </si>
  <si>
    <t>48452434.27958768</t>
  </si>
  <si>
    <t>24053588.356278017</t>
  </si>
  <si>
    <t>1979194700.6536784</t>
  </si>
  <si>
    <t>32.82</t>
  </si>
  <si>
    <t>829064166.0</t>
  </si>
  <si>
    <t>65061</t>
  </si>
  <si>
    <t>41.6309779776</t>
  </si>
  <si>
    <t>59581676.22149105</t>
  </si>
  <si>
    <t>28826164.801870953</t>
  </si>
  <si>
    <t>1911950719.0094426</t>
  </si>
  <si>
    <t>31.72</t>
  </si>
  <si>
    <t>825977656.0</t>
  </si>
  <si>
    <t>75106</t>
  </si>
  <si>
    <t>48.6189622724</t>
  </si>
  <si>
    <t>55947380.3107665</t>
  </si>
  <si>
    <t>30577225.61134005</t>
  </si>
  <si>
    <t>1922052674.908057</t>
  </si>
  <si>
    <t>31.89</t>
  </si>
  <si>
    <t>654137406.0</t>
  </si>
  <si>
    <t>65038</t>
  </si>
  <si>
    <t>40.1056468995</t>
  </si>
  <si>
    <t>52209984.1587781</t>
  </si>
  <si>
    <t>27561620.53462367</t>
  </si>
  <si>
    <t>1872126345.253367</t>
  </si>
  <si>
    <t>31.07</t>
  </si>
  <si>
    <t>694822148.0</t>
  </si>
  <si>
    <t>64494</t>
  </si>
  <si>
    <t>36.1377714633</t>
  </si>
  <si>
    <t>44647707.603897385</t>
  </si>
  <si>
    <t>23003252.90626601</t>
  </si>
  <si>
    <t>1881678668.874598</t>
  </si>
  <si>
    <t>31.24</t>
  </si>
  <si>
    <t>707842400.0</t>
  </si>
  <si>
    <t>69113</t>
  </si>
  <si>
    <t>37.45923577</t>
  </si>
  <si>
    <t>79781899.04110938</t>
  </si>
  <si>
    <t>41707366.68378971</t>
  </si>
  <si>
    <t>1958422067.6576927</t>
  </si>
  <si>
    <t>32.52</t>
  </si>
  <si>
    <t>812860294.0</t>
  </si>
  <si>
    <t>69227</t>
  </si>
  <si>
    <t>52.34873797080001</t>
  </si>
  <si>
    <t>36456708.32895722</t>
  </si>
  <si>
    <t>20817330.66672568</t>
  </si>
  <si>
    <t>1991991270.2338138</t>
  </si>
  <si>
    <t>33.08</t>
  </si>
  <si>
    <t>678149673.0</t>
  </si>
  <si>
    <t>62570</t>
  </si>
  <si>
    <t>41.5799602512</t>
  </si>
  <si>
    <t>54346342.189762525</t>
  </si>
  <si>
    <t>28157970.816839315</t>
  </si>
  <si>
    <t>1984695237.1963801</t>
  </si>
  <si>
    <t>32.97</t>
  </si>
  <si>
    <t>694481467.0</t>
  </si>
  <si>
    <t>67288</t>
  </si>
  <si>
    <t>41.0602606953</t>
  </si>
  <si>
    <t>54706515.52073037</t>
  </si>
  <si>
    <t>30545788.775745288</t>
  </si>
  <si>
    <t>1975243214.8671923</t>
  </si>
  <si>
    <t>661476020.0</t>
  </si>
  <si>
    <t>75945</t>
  </si>
  <si>
    <t>40.9629393492</t>
  </si>
  <si>
    <t>48015892.57178303</t>
  </si>
  <si>
    <t>24965999.343183927</t>
  </si>
  <si>
    <t>1927481811.8145208</t>
  </si>
  <si>
    <t>32.04</t>
  </si>
  <si>
    <t>614405338.0</t>
  </si>
  <si>
    <t>62258</t>
  </si>
  <si>
    <t>41.3985373272</t>
  </si>
  <si>
    <t>39560877.3649916</t>
  </si>
  <si>
    <t>23963969.73711752</t>
  </si>
  <si>
    <t>1905113750.9325001</t>
  </si>
  <si>
    <t>31.67</t>
  </si>
  <si>
    <t>613521888.0</t>
  </si>
  <si>
    <t>56312</t>
  </si>
  <si>
    <t>34.510460131</t>
  </si>
  <si>
    <t>55422755.39067391</t>
  </si>
  <si>
    <t>31826408.336602934</t>
  </si>
  <si>
    <t>1877123956.4911616</t>
  </si>
  <si>
    <t>31.21</t>
  </si>
  <si>
    <t>589374367.0</t>
  </si>
  <si>
    <t>64222</t>
  </si>
  <si>
    <t>35.0060367206</t>
  </si>
  <si>
    <t>33683470.71106281</t>
  </si>
  <si>
    <t>18894535.71523618</t>
  </si>
  <si>
    <t>1875371375.4303107</t>
  </si>
  <si>
    <t>31.19</t>
  </si>
  <si>
    <t>531048792.0</t>
  </si>
  <si>
    <t>73824</t>
  </si>
  <si>
    <t>34.146191630900006</t>
  </si>
  <si>
    <t>50681691.62853092</t>
  </si>
  <si>
    <t>30351067.074419405</t>
  </si>
  <si>
    <t>1952686349.9538167</t>
  </si>
  <si>
    <t>32.49</t>
  </si>
  <si>
    <t>584024741.0</t>
  </si>
  <si>
    <t>64969</t>
  </si>
  <si>
    <t>45.1338084</t>
  </si>
  <si>
    <t>66223767.74608892</t>
  </si>
  <si>
    <t>33815754.187629215</t>
  </si>
  <si>
    <t>1891799691.9655914</t>
  </si>
  <si>
    <t>31.48</t>
  </si>
  <si>
    <t>585789957.0</t>
  </si>
  <si>
    <t>68537</t>
  </si>
  <si>
    <t>33.961487181600006</t>
  </si>
  <si>
    <t>52735302.31238811</t>
  </si>
  <si>
    <t>28251807.4862289</t>
  </si>
  <si>
    <t>1917225487.7390609</t>
  </si>
  <si>
    <t>31.91</t>
  </si>
  <si>
    <t>566482194.0</t>
  </si>
  <si>
    <t>68667</t>
  </si>
  <si>
    <t>35.4690591939</t>
  </si>
  <si>
    <t>42690004.428180106</t>
  </si>
  <si>
    <t>24363373.502757836</t>
  </si>
  <si>
    <t>1912969373.6892443</t>
  </si>
  <si>
    <t>31.85</t>
  </si>
  <si>
    <t>609389197.0</t>
  </si>
  <si>
    <t>65356</t>
  </si>
  <si>
    <t>40.470663688</t>
  </si>
  <si>
    <t>56212279.849516645</t>
  </si>
  <si>
    <t>31971630.7034207</t>
  </si>
  <si>
    <t>1888155068.3419232</t>
  </si>
  <si>
    <t>31.44</t>
  </si>
  <si>
    <t>539347966.0</t>
  </si>
  <si>
    <t>67081</t>
  </si>
  <si>
    <t>41.5608937872</t>
  </si>
  <si>
    <t>44750260.63394958</t>
  </si>
  <si>
    <t>26324910.985020917</t>
  </si>
  <si>
    <t>1943746031.3849573</t>
  </si>
  <si>
    <t>32.38</t>
  </si>
  <si>
    <t>527294088.0</t>
  </si>
  <si>
    <t>67110</t>
  </si>
  <si>
    <t>39.6314806006</t>
  </si>
  <si>
    <t>51808007.953817256</t>
  </si>
  <si>
    <t>30611432.07288904</t>
  </si>
  <si>
    <t>1823361686.3943138</t>
  </si>
  <si>
    <t>30.38</t>
  </si>
  <si>
    <t>593098938.0</t>
  </si>
  <si>
    <t>64994</t>
  </si>
  <si>
    <t>41.7057235448</t>
  </si>
  <si>
    <t>50759528.95834722</t>
  </si>
  <si>
    <t>22654815.219573986</t>
  </si>
  <si>
    <t>1944443263.620178</t>
  </si>
  <si>
    <t>32.4</t>
  </si>
  <si>
    <t>564244096.0</t>
  </si>
  <si>
    <t>65127</t>
  </si>
  <si>
    <t>46.90774962</t>
  </si>
  <si>
    <t>64413030.475804895</t>
  </si>
  <si>
    <t>24544733.13320757</t>
  </si>
  <si>
    <t>1947661004.3495984</t>
  </si>
  <si>
    <t>32.46</t>
  </si>
  <si>
    <t>491524393.0</t>
  </si>
  <si>
    <t>64919</t>
  </si>
  <si>
    <t>40.7381137722</t>
  </si>
  <si>
    <t>142566644.23891938</t>
  </si>
  <si>
    <t>75523736.01139647</t>
  </si>
  <si>
    <t>2019909213.4834518</t>
  </si>
  <si>
    <t>33.68</t>
  </si>
  <si>
    <t>628980637.0</t>
  </si>
  <si>
    <t>68801</t>
  </si>
  <si>
    <t>44.424245012</t>
  </si>
  <si>
    <t>152764570.25164884</t>
  </si>
  <si>
    <t>71884956.03139195</t>
  </si>
  <si>
    <t>2337640877.5677595</t>
  </si>
  <si>
    <t>38.99</t>
  </si>
  <si>
    <t>701124437.0</t>
  </si>
  <si>
    <t>70009</t>
  </si>
  <si>
    <t>71.82048573770001</t>
  </si>
  <si>
    <t>106195702.44786255</t>
  </si>
  <si>
    <t>46957430.345056385</t>
  </si>
  <si>
    <t>2364641252.223647</t>
  </si>
  <si>
    <t>39.45</t>
  </si>
  <si>
    <t>504601883.0</t>
  </si>
  <si>
    <t>67347</t>
  </si>
  <si>
    <t>54.513027415500005</t>
  </si>
  <si>
    <t>98406874.41069455</t>
  </si>
  <si>
    <t>49571764.340125866</t>
  </si>
  <si>
    <t>2272646373.2644377</t>
  </si>
  <si>
    <t>37.92</t>
  </si>
  <si>
    <t>643946959.0</t>
  </si>
  <si>
    <t>72910</t>
  </si>
  <si>
    <t>59.36260344000001</t>
  </si>
  <si>
    <t>173964667.4501886</t>
  </si>
  <si>
    <t>63342757.70430017</t>
  </si>
  <si>
    <t>2353355998.997091</t>
  </si>
  <si>
    <t>39.28</t>
  </si>
  <si>
    <t>586891613.0</t>
  </si>
  <si>
    <t>69493</t>
  </si>
  <si>
    <t>59.3962350408</t>
  </si>
  <si>
    <t>125744789.78961541</t>
  </si>
  <si>
    <t>60521951.60126615</t>
  </si>
  <si>
    <t>2087617156.6119597</t>
  </si>
  <si>
    <t>34.85</t>
  </si>
  <si>
    <t>809493170.0</t>
  </si>
  <si>
    <t>71992</t>
  </si>
  <si>
    <t>60.01418724450001</t>
  </si>
  <si>
    <t>70332385.8194394</t>
  </si>
  <si>
    <t>38279677.54983304</t>
  </si>
  <si>
    <t>1937264571.2392676</t>
  </si>
  <si>
    <t>32.35</t>
  </si>
  <si>
    <t>640607603.0</t>
  </si>
  <si>
    <t>73402</t>
  </si>
  <si>
    <t>52.06237642050001</t>
  </si>
  <si>
    <t>58178206.98572309</t>
  </si>
  <si>
    <t>30407226.267210692</t>
  </si>
  <si>
    <t>1917449029.947531</t>
  </si>
  <si>
    <t>32.02</t>
  </si>
  <si>
    <t>391010579.0</t>
  </si>
  <si>
    <t>73279</t>
  </si>
  <si>
    <t>41.5949239496</t>
  </si>
  <si>
    <t>96301720.54659954</t>
  </si>
  <si>
    <t>52641368.08347627</t>
  </si>
  <si>
    <t>1996137016.0755544</t>
  </si>
  <si>
    <t>33.35</t>
  </si>
  <si>
    <t>345068249.0</t>
  </si>
  <si>
    <t>76109</t>
  </si>
  <si>
    <t>48.06786625550001</t>
  </si>
  <si>
    <t>77655699.27185349</t>
  </si>
  <si>
    <t>29245663.022996254</t>
  </si>
  <si>
    <t>1916468040.7233026</t>
  </si>
  <si>
    <t>414331918.0</t>
  </si>
  <si>
    <t>48.61781387420001</t>
  </si>
  <si>
    <t>59040903.40887347</t>
  </si>
  <si>
    <t>19678173.287258882</t>
  </si>
  <si>
    <t>1822444539.2757974</t>
  </si>
  <si>
    <t>30.46</t>
  </si>
  <si>
    <t>379429124.0</t>
  </si>
  <si>
    <t>65830</t>
  </si>
  <si>
    <t>48.3196410416</t>
  </si>
  <si>
    <t>41317366.59013977</t>
  </si>
  <si>
    <t>22259330.39852482</t>
  </si>
  <si>
    <t>1912822574.8532984</t>
  </si>
  <si>
    <t>31.98</t>
  </si>
  <si>
    <t>367746437.0</t>
  </si>
  <si>
    <t>72736</t>
  </si>
  <si>
    <t>52.4519599032</t>
  </si>
  <si>
    <t>57977179.35925496</t>
  </si>
  <si>
    <t>30434355.3228215</t>
  </si>
  <si>
    <t>1878778105.69606</t>
  </si>
  <si>
    <t>31.42</t>
  </si>
  <si>
    <t>405650440.0</t>
  </si>
  <si>
    <t>75988</t>
  </si>
  <si>
    <t>49.39833202380001</t>
  </si>
  <si>
    <t>62985735.06539479</t>
  </si>
  <si>
    <t>34440652.69594909</t>
  </si>
  <si>
    <t>1946358200.1393728</t>
  </si>
  <si>
    <t>32.56</t>
  </si>
  <si>
    <t>390868406.0</t>
  </si>
  <si>
    <t>84925</t>
  </si>
  <si>
    <t>52.4554295144</t>
  </si>
  <si>
    <t>58964889.46128589</t>
  </si>
  <si>
    <t>31103605.767406505</t>
  </si>
  <si>
    <t>1691610162.0639806</t>
  </si>
  <si>
    <t>28.3</t>
  </si>
  <si>
    <t>486919644.99999994</t>
  </si>
  <si>
    <t>80428</t>
  </si>
  <si>
    <t>53.64704216</t>
  </si>
  <si>
    <t>56431554.124121405</t>
  </si>
  <si>
    <t>33577945.63603686</t>
  </si>
  <si>
    <t>1850433736.1866386</t>
  </si>
  <si>
    <t>30.96</t>
  </si>
  <si>
    <t>442100051.0</t>
  </si>
  <si>
    <t>76964</t>
  </si>
  <si>
    <t>53.46406486080001</t>
  </si>
  <si>
    <t>49139740.50023904</t>
  </si>
  <si>
    <t>28648402.32891083</t>
  </si>
  <si>
    <t>1857210305.1058407</t>
  </si>
  <si>
    <t>31.09</t>
  </si>
  <si>
    <t>464721770.0</t>
  </si>
  <si>
    <t>78655</t>
  </si>
  <si>
    <t>50.0546752193</t>
  </si>
  <si>
    <t>55494960.03017509</t>
  </si>
  <si>
    <t>35398540.95387435</t>
  </si>
  <si>
    <t>1995270499.6080952</t>
  </si>
  <si>
    <t>33.4</t>
  </si>
  <si>
    <t>508836253.0</t>
  </si>
  <si>
    <t>70723</t>
  </si>
  <si>
    <t>53.28685098</t>
  </si>
  <si>
    <t>80130783.58025521</t>
  </si>
  <si>
    <t>39064744.56386898</t>
  </si>
  <si>
    <t>1998516771.1129515</t>
  </si>
  <si>
    <t>33.47</t>
  </si>
  <si>
    <t>535897387.0</t>
  </si>
  <si>
    <t>81614</t>
  </si>
  <si>
    <t>61.91193578</t>
  </si>
  <si>
    <t>74294703.47650705</t>
  </si>
  <si>
    <t>36376452.40859847</t>
  </si>
  <si>
    <t>1909869496.3682005</t>
  </si>
  <si>
    <t>31.99</t>
  </si>
  <si>
    <t>554317219.0</t>
  </si>
  <si>
    <t>77402</t>
  </si>
  <si>
    <t>47.6176073261</t>
  </si>
  <si>
    <t>52396487.665545814</t>
  </si>
  <si>
    <t>23999509.445514698</t>
  </si>
  <si>
    <t>1839939799.6045196</t>
  </si>
  <si>
    <t>30.83</t>
  </si>
  <si>
    <t>419546205.0</t>
  </si>
  <si>
    <t>78032</t>
  </si>
  <si>
    <t>41.6569469177</t>
  </si>
  <si>
    <t>62531695.38951758</t>
  </si>
  <si>
    <t>31660706.25739482</t>
  </si>
  <si>
    <t>1952884860.610714</t>
  </si>
  <si>
    <t>32.73</t>
  </si>
  <si>
    <t>546504526.0</t>
  </si>
  <si>
    <t>81368</t>
  </si>
  <si>
    <t>57.277499999999996</t>
  </si>
  <si>
    <t>73700205.6413275</t>
  </si>
  <si>
    <t>37715088.28755606</t>
  </si>
  <si>
    <t>1765665285.3625839</t>
  </si>
  <si>
    <t>29.6</t>
  </si>
  <si>
    <t>796645103.0</t>
  </si>
  <si>
    <t>80757</t>
  </si>
  <si>
    <t>50.937317768</t>
  </si>
  <si>
    <t>75539825.64318788</t>
  </si>
  <si>
    <t>44412807.0708337</t>
  </si>
  <si>
    <t>1809055957.2088947</t>
  </si>
  <si>
    <t>30.33</t>
  </si>
  <si>
    <t>505439992.0</t>
  </si>
  <si>
    <t>83705</t>
  </si>
  <si>
    <t>56.799933353099995</t>
  </si>
  <si>
    <t>52333134.04348704</t>
  </si>
  <si>
    <t>31177523.809282534</t>
  </si>
  <si>
    <t>1745376046.2577968</t>
  </si>
  <si>
    <t>29.27</t>
  </si>
  <si>
    <t>492064385.99999994</t>
  </si>
  <si>
    <t>76543</t>
  </si>
  <si>
    <t>45.7031933763</t>
  </si>
  <si>
    <t>81113007.44803369</t>
  </si>
  <si>
    <t>61668051.20224318</t>
  </si>
  <si>
    <t>1530802170.6293132</t>
  </si>
  <si>
    <t>25.68</t>
  </si>
  <si>
    <t>613385969.0</t>
  </si>
  <si>
    <t>85249</t>
  </si>
  <si>
    <t>52.784718952800006</t>
  </si>
  <si>
    <t>43059422.7365936</t>
  </si>
  <si>
    <t>25219389.937524956</t>
  </si>
  <si>
    <t>1417716713.5523436</t>
  </si>
  <si>
    <t>23.79</t>
  </si>
  <si>
    <t>424549776.0</t>
  </si>
  <si>
    <t>71827</t>
  </si>
  <si>
    <t>49.234106805</t>
  </si>
  <si>
    <t>42000263.97879721</t>
  </si>
  <si>
    <t>22256516.03495814</t>
  </si>
  <si>
    <t>1398028568.608915</t>
  </si>
  <si>
    <t>23.46</t>
  </si>
  <si>
    <t>291476162.0</t>
  </si>
  <si>
    <t>82092</t>
  </si>
  <si>
    <t>39.552218322600005</t>
  </si>
  <si>
    <t>32880476.62582733</t>
  </si>
  <si>
    <t>18541200.37356615</t>
  </si>
  <si>
    <t>1409139389.5652173</t>
  </si>
  <si>
    <t>23.65</t>
  </si>
  <si>
    <t>318851820.0</t>
  </si>
  <si>
    <t>76876</t>
  </si>
  <si>
    <t>47.653159774</t>
  </si>
  <si>
    <t>38151300.88722686</t>
  </si>
  <si>
    <t>24097557.611027163</t>
  </si>
  <si>
    <t>1460881789.233629</t>
  </si>
  <si>
    <t>24.53</t>
  </si>
  <si>
    <t>328942983.0</t>
  </si>
  <si>
    <t>86709</t>
  </si>
  <si>
    <t>48.1803424256</t>
  </si>
  <si>
    <t>44119548.72219498</t>
  </si>
  <si>
    <t>18945359.41675328</t>
  </si>
  <si>
    <t>1417354353.2952228</t>
  </si>
  <si>
    <t>23.8</t>
  </si>
  <si>
    <t>367818943.0</t>
  </si>
  <si>
    <t>82259</t>
  </si>
  <si>
    <t>44.972380754</t>
  </si>
  <si>
    <t>33432976.06246825</t>
  </si>
  <si>
    <t>18089424.589358676</t>
  </si>
  <si>
    <t>1464569755.7394958</t>
  </si>
  <si>
    <t>24.6</t>
  </si>
  <si>
    <t>386533569.0</t>
  </si>
  <si>
    <t>77795</t>
  </si>
  <si>
    <t>46.310343288000006</t>
  </si>
  <si>
    <t>32588702.261867795</t>
  </si>
  <si>
    <t>18042319.939666647</t>
  </si>
  <si>
    <t>1541938389.1803412</t>
  </si>
  <si>
    <t>25.91</t>
  </si>
  <si>
    <t>423653343.0</t>
  </si>
  <si>
    <t>78741</t>
  </si>
  <si>
    <t>46.7011165009</t>
  </si>
  <si>
    <t>28738194.72810369</t>
  </si>
  <si>
    <t>16447572.125016138</t>
  </si>
  <si>
    <t>1475498715.6531792</t>
  </si>
  <si>
    <t>24.8</t>
  </si>
  <si>
    <t>471979152.0</t>
  </si>
  <si>
    <t>72011</t>
  </si>
  <si>
    <t>43.061482728</t>
  </si>
  <si>
    <t>41743151.50407446</t>
  </si>
  <si>
    <t>20987670.1125427</t>
  </si>
  <si>
    <t>1495202510.933226</t>
  </si>
  <si>
    <t>25.13</t>
  </si>
  <si>
    <t>504751040.0</t>
  </si>
  <si>
    <t>75556</t>
  </si>
  <si>
    <t>47.906145274400004</t>
  </si>
  <si>
    <t>80382035.8153153</t>
  </si>
  <si>
    <t>46672496.14306484</t>
  </si>
  <si>
    <t>1600659320.8231103</t>
  </si>
  <si>
    <t>26.91</t>
  </si>
  <si>
    <t>519622321.0</t>
  </si>
  <si>
    <t>86824</t>
  </si>
  <si>
    <t>75.0702562389</t>
  </si>
  <si>
    <t>51116402.82640583</t>
  </si>
  <si>
    <t>28835704.815782376</t>
  </si>
  <si>
    <t>1739518419.0701559</t>
  </si>
  <si>
    <t>29.25</t>
  </si>
  <si>
    <t>451241301.0</t>
  </si>
  <si>
    <t>78201</t>
  </si>
  <si>
    <t>58.0497000525</t>
  </si>
  <si>
    <t>44688087.134521164</t>
  </si>
  <si>
    <t>23535265.09441186</t>
  </si>
  <si>
    <t>1855693503.27372</t>
  </si>
  <si>
    <t>31.22</t>
  </si>
  <si>
    <t>392132740.0</t>
  </si>
  <si>
    <t>79059</t>
  </si>
  <si>
    <t>53.482913316</t>
  </si>
  <si>
    <t>33461307.657066815</t>
  </si>
  <si>
    <t>18100707.703879323</t>
  </si>
  <si>
    <t>1842845308.5123436</t>
  </si>
  <si>
    <t>31.01</t>
  </si>
  <si>
    <t>398521610.0</t>
  </si>
  <si>
    <t>79699</t>
  </si>
  <si>
    <t>51.9642235672</t>
  </si>
  <si>
    <t>38552600.53189022</t>
  </si>
  <si>
    <t>24458659.625680547</t>
  </si>
  <si>
    <t>2009142200.271001</t>
  </si>
  <si>
    <t>33.81</t>
  </si>
  <si>
    <t>431873524.0</t>
  </si>
  <si>
    <t>77933</t>
  </si>
  <si>
    <t>54.0905863428</t>
  </si>
  <si>
    <t>27626432.445723865</t>
  </si>
  <si>
    <t>16094150.624783041</t>
  </si>
  <si>
    <t>2035381124.0913672</t>
  </si>
  <si>
    <t>34.26</t>
  </si>
  <si>
    <t>407318732.0</t>
  </si>
  <si>
    <t>74591</t>
  </si>
  <si>
    <t>48.81577794419999</t>
  </si>
  <si>
    <t>32599140.112003177</t>
  </si>
  <si>
    <t>15902247.103933347</t>
  </si>
  <si>
    <t>1908220349.450495</t>
  </si>
  <si>
    <t>32.13</t>
  </si>
  <si>
    <t>428286157.0</t>
  </si>
  <si>
    <t>80065</t>
  </si>
  <si>
    <t>50.017376007900005</t>
  </si>
  <si>
    <t>1163376826.617054</t>
  </si>
  <si>
    <t>392947777.2652399</t>
  </si>
  <si>
    <t>2007179026.0449154</t>
  </si>
  <si>
    <t>33.8</t>
  </si>
  <si>
    <t>431153649.0</t>
  </si>
  <si>
    <t>95284</t>
  </si>
  <si>
    <t>63.442489474</t>
  </si>
  <si>
    <t>562709003.3555201</t>
  </si>
  <si>
    <t>191686317.08416232</t>
  </si>
  <si>
    <t>2060849539.2899408</t>
  </si>
  <si>
    <t>34.72</t>
  </si>
  <si>
    <t>476701013.0</t>
  </si>
  <si>
    <t>84995</t>
  </si>
  <si>
    <t>62.628283200000006</t>
  </si>
  <si>
    <t>47868090.76127948</t>
  </si>
  <si>
    <t>26541561.96688208</t>
  </si>
  <si>
    <t>1846698840.4481661</t>
  </si>
  <si>
    <t>31.12</t>
  </si>
  <si>
    <t>573550000.0</t>
  </si>
  <si>
    <t>85846</t>
  </si>
  <si>
    <t>57.4166763456</t>
  </si>
  <si>
    <t>34403135.65038814</t>
  </si>
  <si>
    <t>20517724.173856035</t>
  </si>
  <si>
    <t>1744940048.2568393</t>
  </si>
  <si>
    <t>29.41</t>
  </si>
  <si>
    <t>486621000.0</t>
  </si>
  <si>
    <t>85528</t>
  </si>
  <si>
    <t>50.94570778</t>
  </si>
  <si>
    <t>52338919.34259945</t>
  </si>
  <si>
    <t>30234110.8775647</t>
  </si>
  <si>
    <t>1831337444.1574295</t>
  </si>
  <si>
    <t>30.87</t>
  </si>
  <si>
    <t>528901999.99999994</t>
  </si>
  <si>
    <t>82394</t>
  </si>
  <si>
    <t>64.7223009993</t>
  </si>
  <si>
    <t>67982749.78870922</t>
  </si>
  <si>
    <t>35231282.307441674</t>
  </si>
  <si>
    <t>1733744923.2269342</t>
  </si>
  <si>
    <t>29.23</t>
  </si>
  <si>
    <t>573938000.0</t>
  </si>
  <si>
    <t>83721</t>
  </si>
  <si>
    <t>67.3785900787</t>
  </si>
  <si>
    <t>39057561.96348611</t>
  </si>
  <si>
    <t>22349984.03725712</t>
  </si>
  <si>
    <t>1912758168.9952087</t>
  </si>
  <si>
    <t>32.26</t>
  </si>
  <si>
    <t>396969000.0</t>
  </si>
  <si>
    <t>76651</t>
  </si>
  <si>
    <t>50.9507571846</t>
  </si>
  <si>
    <t>52871679.476648696</t>
  </si>
  <si>
    <t>38125053.599649824</t>
  </si>
  <si>
    <t>1898221972.0808463</t>
  </si>
  <si>
    <t>462932000.0</t>
  </si>
  <si>
    <t>81254</t>
  </si>
  <si>
    <t>53.93343166020001</t>
  </si>
  <si>
    <t>44211421.00730694</t>
  </si>
  <si>
    <t>24603578.099843305</t>
  </si>
  <si>
    <t>2055770812.5341613</t>
  </si>
  <si>
    <t>34.69</t>
  </si>
  <si>
    <t>468218000.0</t>
  </si>
  <si>
    <t>79668</t>
  </si>
  <si>
    <t>54.340065856399995</t>
  </si>
  <si>
    <t>52121984.252569035</t>
  </si>
  <si>
    <t>28964637.173257023</t>
  </si>
  <si>
    <t>1959648457.1367176</t>
  </si>
  <si>
    <t>33.07</t>
  </si>
  <si>
    <t>504001000.0</t>
  </si>
  <si>
    <t>89327</t>
  </si>
  <si>
    <t>60.4761973337</t>
  </si>
  <si>
    <t>85014126.86875503</t>
  </si>
  <si>
    <t>46769244.16219316</t>
  </si>
  <si>
    <t>2166784167.2024817</t>
  </si>
  <si>
    <t>36.57</t>
  </si>
  <si>
    <t>619356000.0</t>
  </si>
  <si>
    <t>101256</t>
  </si>
  <si>
    <t>87.9678254283</t>
  </si>
  <si>
    <t>106979309.15468895</t>
  </si>
  <si>
    <t>77461443.94789858</t>
  </si>
  <si>
    <t>2507885690.3406115</t>
  </si>
  <si>
    <t>42.34</t>
  </si>
  <si>
    <t>571241000.0</t>
  </si>
  <si>
    <t>90135</t>
  </si>
  <si>
    <t>84.67859219500001</t>
  </si>
  <si>
    <t>27875532.321819533</t>
  </si>
  <si>
    <t>14583322.40628067</t>
  </si>
  <si>
    <t>2492333059.907867</t>
  </si>
  <si>
    <t>42.09</t>
  </si>
  <si>
    <t>352001000.0</t>
  </si>
  <si>
    <t>77814</t>
  </si>
  <si>
    <t>44.589005781900006</t>
  </si>
  <si>
    <t>31947944.212436307</t>
  </si>
  <si>
    <t>18397812.72467142</t>
  </si>
  <si>
    <t>2515498716.60601</t>
  </si>
  <si>
    <t>42.49</t>
  </si>
  <si>
    <t>330818000.0</t>
  </si>
  <si>
    <t>80780</t>
  </si>
  <si>
    <t>46.95503870540001</t>
  </si>
  <si>
    <t>41100497.86277193</t>
  </si>
  <si>
    <t>24662018.94122803</t>
  </si>
  <si>
    <t>2601895897.136128</t>
  </si>
  <si>
    <t>43.96</t>
  </si>
  <si>
    <t>411507000.0</t>
  </si>
  <si>
    <t>83350</t>
  </si>
  <si>
    <t>54.4763327584</t>
  </si>
  <si>
    <t>248599733.65496892</t>
  </si>
  <si>
    <t>101891267.9402305</t>
  </si>
  <si>
    <t>2587616672.661433</t>
  </si>
  <si>
    <t>43.73</t>
  </si>
  <si>
    <t>588718000.0</t>
  </si>
  <si>
    <t>87042</t>
  </si>
  <si>
    <t>68.38412913639999</t>
  </si>
  <si>
    <t>78569187.94180402</t>
  </si>
  <si>
    <t>42544330.291308545</t>
  </si>
  <si>
    <t>2933285349.47535</t>
  </si>
  <si>
    <t>49.58</t>
  </si>
  <si>
    <t>604639000.0</t>
  </si>
  <si>
    <t>90953</t>
  </si>
  <si>
    <t>73.6113055206</t>
  </si>
  <si>
    <t>46102830.70067796</t>
  </si>
  <si>
    <t>23400211.824766148</t>
  </si>
  <si>
    <t>2994431195.6808853</t>
  </si>
  <si>
    <t>50.63</t>
  </si>
  <si>
    <t>356433000.0</t>
  </si>
  <si>
    <t>85263</t>
  </si>
  <si>
    <t>51.08344228</t>
  </si>
  <si>
    <t>36290937.40791845</t>
  </si>
  <si>
    <t>22282529.199315697</t>
  </si>
  <si>
    <t>3044006568.9879565</t>
  </si>
  <si>
    <t>51.48</t>
  </si>
  <si>
    <t>388194000.0</t>
  </si>
  <si>
    <t>89149</t>
  </si>
  <si>
    <t>49.8972386484</t>
  </si>
  <si>
    <t>32190374.2892624</t>
  </si>
  <si>
    <t>17600185.080814507</t>
  </si>
  <si>
    <t>3093353466.196262</t>
  </si>
  <si>
    <t>52.32</t>
  </si>
  <si>
    <t>410262000.0</t>
  </si>
  <si>
    <t>86382</t>
  </si>
  <si>
    <t>13.610524799999999</t>
  </si>
  <si>
    <t>30884647.492490627</t>
  </si>
  <si>
    <t>15296479.92877631</t>
  </si>
  <si>
    <t>3069366449.585496</t>
  </si>
  <si>
    <t>51.93</t>
  </si>
  <si>
    <t>322713000.0</t>
  </si>
  <si>
    <t>79996</t>
  </si>
  <si>
    <t>18.6090292962</t>
  </si>
  <si>
    <t>45645139.08698778</t>
  </si>
  <si>
    <t>24103816.53657932</t>
  </si>
  <si>
    <t>3093692382.6612716</t>
  </si>
  <si>
    <t>52.36</t>
  </si>
  <si>
    <t>386711000.0</t>
  </si>
  <si>
    <t>80043</t>
  </si>
  <si>
    <t>49.2601345852</t>
  </si>
  <si>
    <t>49305606.70858483</t>
  </si>
  <si>
    <t>28723963.03441905</t>
  </si>
  <si>
    <t>3201531572.306664</t>
  </si>
  <si>
    <t>54.19</t>
  </si>
  <si>
    <t>351857000.0</t>
  </si>
  <si>
    <t>81410</t>
  </si>
  <si>
    <t>50.37643294</t>
  </si>
  <si>
    <t>116538934.42505555</t>
  </si>
  <si>
    <t>66065352.50266475</t>
  </si>
  <si>
    <t>3309735808.64809</t>
  </si>
  <si>
    <t>56.04</t>
  </si>
  <si>
    <t>385412000.0</t>
  </si>
  <si>
    <t>84836</t>
  </si>
  <si>
    <t>56.162019814800004</t>
  </si>
  <si>
    <t>57931342.030545995</t>
  </si>
  <si>
    <t>35861123.59642639</t>
  </si>
  <si>
    <t>3128480490.214477</t>
  </si>
  <si>
    <t>53.7</t>
  </si>
  <si>
    <t>371534000.0</t>
  </si>
  <si>
    <t>87954</t>
  </si>
  <si>
    <t>55.27052792100001</t>
  </si>
  <si>
    <t>53573813.718778975</t>
  </si>
  <si>
    <t>30909384.543384697</t>
  </si>
  <si>
    <t>3163694698.7540617</t>
  </si>
  <si>
    <t>53.59</t>
  </si>
  <si>
    <t>398133000.0</t>
  </si>
  <si>
    <t>92304</t>
  </si>
  <si>
    <t>56.48364403230001</t>
  </si>
  <si>
    <t>45942877.7294258</t>
  </si>
  <si>
    <t>27681560.49957218</t>
  </si>
  <si>
    <t>3009766550.8573027</t>
  </si>
  <si>
    <t>50.99</t>
  </si>
  <si>
    <t>441532999.99999994</t>
  </si>
  <si>
    <t>82995</t>
  </si>
  <si>
    <t>59.00999631330001</t>
  </si>
  <si>
    <t>29725956.04215509</t>
  </si>
  <si>
    <t>15443334.189044245</t>
  </si>
  <si>
    <t>3027359873.8022366</t>
  </si>
  <si>
    <t>51.3</t>
  </si>
  <si>
    <t>325128000.0</t>
  </si>
  <si>
    <t>71640</t>
  </si>
  <si>
    <t>49.749406199999996</t>
  </si>
  <si>
    <t>50501933.9040612</t>
  </si>
  <si>
    <t>27363042.89094516</t>
  </si>
  <si>
    <t>2969850148.986558</t>
  </si>
  <si>
    <t>50.34</t>
  </si>
  <si>
    <t>362726000.0</t>
  </si>
  <si>
    <t>83348</t>
  </si>
  <si>
    <t>50.33033472</t>
  </si>
  <si>
    <t>41203957.09661717</t>
  </si>
  <si>
    <t>24855054.17236864</t>
  </si>
  <si>
    <t>2923215125.2134476</t>
  </si>
  <si>
    <t>49.56</t>
  </si>
  <si>
    <t>321492000.0</t>
  </si>
  <si>
    <t>82417</t>
  </si>
  <si>
    <t>54.16103591640001</t>
  </si>
  <si>
    <t>37964924.35506795</t>
  </si>
  <si>
    <t>20713137.040960588</t>
  </si>
  <si>
    <t>2909539876.91424</t>
  </si>
  <si>
    <t>49.34</t>
  </si>
  <si>
    <t>410734000.0</t>
  </si>
  <si>
    <t>79721</t>
  </si>
  <si>
    <t>49.339417788000006</t>
  </si>
  <si>
    <t>46870491.69003166</t>
  </si>
  <si>
    <t>28914135.1467598</t>
  </si>
  <si>
    <t>2888644289.175467</t>
  </si>
  <si>
    <t>49.0</t>
  </si>
  <si>
    <t>295448000.0</t>
  </si>
  <si>
    <t>81521</t>
  </si>
  <si>
    <t>41.10133769</t>
  </si>
  <si>
    <t>44001398.89570265</t>
  </si>
  <si>
    <t>27764078.418817755</t>
  </si>
  <si>
    <t>3054891731.060933</t>
  </si>
  <si>
    <t>51.83</t>
  </si>
  <si>
    <t>373076000.0</t>
  </si>
  <si>
    <t>82279</t>
  </si>
  <si>
    <t>52.1928540555</t>
  </si>
  <si>
    <t>28486577.157739468</t>
  </si>
  <si>
    <t>16748531.799100881</t>
  </si>
  <si>
    <t>3066859683.7196765</t>
  </si>
  <si>
    <t>52.05</t>
  </si>
  <si>
    <t>335237000.0</t>
  </si>
  <si>
    <t>74052</t>
  </si>
  <si>
    <t>47.546477849999995</t>
  </si>
  <si>
    <t>24853208.15465709</t>
  </si>
  <si>
    <t>14454213.288994102</t>
  </si>
  <si>
    <t>3071052355.1170807</t>
  </si>
  <si>
    <t>52.13</t>
  </si>
  <si>
    <t>312308000.0</t>
  </si>
  <si>
    <t>73252</t>
  </si>
  <si>
    <t>50.080935473400004</t>
  </si>
  <si>
    <t>41835242.686857186</t>
  </si>
  <si>
    <t>25956215.27660004</t>
  </si>
  <si>
    <t>3075412478.0007677</t>
  </si>
  <si>
    <t>52.22</t>
  </si>
  <si>
    <t>292908000.0</t>
  </si>
  <si>
    <t>82895</t>
  </si>
  <si>
    <t>43.2966464</t>
  </si>
  <si>
    <t>40659737.23958414</t>
  </si>
  <si>
    <t>25177239.85510487</t>
  </si>
  <si>
    <t>3091002916.297913</t>
  </si>
  <si>
    <t>52.49</t>
  </si>
  <si>
    <t>241117000.0</t>
  </si>
  <si>
    <t>84990</t>
  </si>
  <si>
    <t>52.48901581250001</t>
  </si>
  <si>
    <t>42325092.75575078</t>
  </si>
  <si>
    <t>21694614.49959736</t>
  </si>
  <si>
    <t>3087939730.154227</t>
  </si>
  <si>
    <t>52.46</t>
  </si>
  <si>
    <t>291042000.0</t>
  </si>
  <si>
    <t>80435</t>
  </si>
  <si>
    <t>46.21726</t>
  </si>
  <si>
    <t>54529298.62331056</t>
  </si>
  <si>
    <t>29312517.278697792</t>
  </si>
  <si>
    <t>3074637859.590408</t>
  </si>
  <si>
    <t>52.24</t>
  </si>
  <si>
    <t>278025000.0</t>
  </si>
  <si>
    <t>83914</t>
  </si>
  <si>
    <t>42.3295945264</t>
  </si>
  <si>
    <t>65983010.38719712</t>
  </si>
  <si>
    <t>35924368.77426715</t>
  </si>
  <si>
    <t>3105808640.2777777</t>
  </si>
  <si>
    <t>52.78</t>
  </si>
  <si>
    <t>263337000.0</t>
  </si>
  <si>
    <t>82949</t>
  </si>
  <si>
    <t>53.914770000000004</t>
  </si>
  <si>
    <t>37686617.97008658</t>
  </si>
  <si>
    <t>27583847.667147353</t>
  </si>
  <si>
    <t>3142805126.3747163</t>
  </si>
  <si>
    <t>53.43</t>
  </si>
  <si>
    <t>273510000.0</t>
  </si>
  <si>
    <t>77236</t>
  </si>
  <si>
    <t>41.5090542438</t>
  </si>
  <si>
    <t>103030348.84737642</t>
  </si>
  <si>
    <t>87618981.07070985</t>
  </si>
  <si>
    <t>3121298139.0163045</t>
  </si>
  <si>
    <t>53.07</t>
  </si>
  <si>
    <t>258417999.99999997</t>
  </si>
  <si>
    <t>208245</t>
  </si>
  <si>
    <t>40.842788754000004</t>
  </si>
  <si>
    <t>58385763.97324786</t>
  </si>
  <si>
    <t>37860135.7029754</t>
  </si>
  <si>
    <t>3089819802.0341377</t>
  </si>
  <si>
    <t>52.55</t>
  </si>
  <si>
    <t>272130000.0</t>
  </si>
  <si>
    <t>108674</t>
  </si>
  <si>
    <t>45.0725590785</t>
  </si>
  <si>
    <t>84288035.4951248</t>
  </si>
  <si>
    <t>53590512.302026935</t>
  </si>
  <si>
    <t>3157729162.6407766</t>
  </si>
  <si>
    <t>53.72</t>
  </si>
  <si>
    <t>296411000.0</t>
  </si>
  <si>
    <t>162025</t>
  </si>
  <si>
    <t>65.6376965852</t>
  </si>
  <si>
    <t>70960394.76593354</t>
  </si>
  <si>
    <t>48469142.749908336</t>
  </si>
  <si>
    <t>3188952513.7805104</t>
  </si>
  <si>
    <t>54.26</t>
  </si>
  <si>
    <t>295022000.0</t>
  </si>
  <si>
    <t>164683</t>
  </si>
  <si>
    <t>59.63173999999999</t>
  </si>
  <si>
    <t>75046889.10921429</t>
  </si>
  <si>
    <t>42226802.5499157</t>
  </si>
  <si>
    <t>3229687910.229887</t>
  </si>
  <si>
    <t>54.97</t>
  </si>
  <si>
    <t>281917000.0</t>
  </si>
  <si>
    <t>93156</t>
  </si>
  <si>
    <t>44.9491894297</t>
  </si>
  <si>
    <t>90346152.92889233</t>
  </si>
  <si>
    <t>56059288.98482082</t>
  </si>
  <si>
    <t>3064512682.654155</t>
  </si>
  <si>
    <t>52.17</t>
  </si>
  <si>
    <t>431765000.0</t>
  </si>
  <si>
    <t>82098</t>
  </si>
  <si>
    <t>59.5431354951</t>
  </si>
  <si>
    <t>48978016.5365459</t>
  </si>
  <si>
    <t>26561758.589368984</t>
  </si>
  <si>
    <t>3142294547.5428243</t>
  </si>
  <si>
    <t>53.51</t>
  </si>
  <si>
    <t>242220999.99999997</t>
  </si>
  <si>
    <t>67648</t>
  </si>
  <si>
    <t>37.8709886766</t>
  </si>
  <si>
    <t>69790017.98891793</t>
  </si>
  <si>
    <t>40838272.18251466</t>
  </si>
  <si>
    <t>3138815903.5397563</t>
  </si>
  <si>
    <t>53.46</t>
  </si>
  <si>
    <t>237333000.0</t>
  </si>
  <si>
    <t>74171</t>
  </si>
  <si>
    <t>32.633520440400005</t>
  </si>
  <si>
    <t>85579530.6107989</t>
  </si>
  <si>
    <t>48930650.389914714</t>
  </si>
  <si>
    <t>2986034164.261998</t>
  </si>
  <si>
    <t>50.87</t>
  </si>
  <si>
    <t>280891000.0</t>
  </si>
  <si>
    <t>78589</t>
  </si>
  <si>
    <t>50.8496006213</t>
  </si>
  <si>
    <t>111672152.15330392</t>
  </si>
  <si>
    <t>63432178.30151946</t>
  </si>
  <si>
    <t>3402615046.2006636</t>
  </si>
  <si>
    <t>57.98</t>
  </si>
  <si>
    <t>343098000.0</t>
  </si>
  <si>
    <t>91797</t>
  </si>
  <si>
    <t>60.160117576000005</t>
  </si>
  <si>
    <t>68701694.6754318</t>
  </si>
  <si>
    <t>42658903.89443929</t>
  </si>
  <si>
    <t>3441585025.756813</t>
  </si>
  <si>
    <t>58.66</t>
  </si>
  <si>
    <t>358009000.0</t>
  </si>
  <si>
    <t>80075</t>
  </si>
  <si>
    <t>56.7442430044</t>
  </si>
  <si>
    <t>90348958.8130047</t>
  </si>
  <si>
    <t>57502805.02523276</t>
  </si>
  <si>
    <t>3487183855.7468915</t>
  </si>
  <si>
    <t>59.45</t>
  </si>
  <si>
    <t>318545000.0</t>
  </si>
  <si>
    <t>75760</t>
  </si>
  <si>
    <t>59.08919854450001</t>
  </si>
  <si>
    <t>81026011.9607824</t>
  </si>
  <si>
    <t>42776061.28712929</t>
  </si>
  <si>
    <t>3414765494.2511363</t>
  </si>
  <si>
    <t>58.23</t>
  </si>
  <si>
    <t>347408000.0</t>
  </si>
  <si>
    <t>81146</t>
  </si>
  <si>
    <t>52.8222882078</t>
  </si>
  <si>
    <t>71437093.34830895</t>
  </si>
  <si>
    <t>47997448.355931915</t>
  </si>
  <si>
    <t>3396136374.209938</t>
  </si>
  <si>
    <t>57.93</t>
  </si>
  <si>
    <t>435270000.0</t>
  </si>
  <si>
    <t>71743</t>
  </si>
  <si>
    <t>40.479439071</t>
  </si>
  <si>
    <t>55470007.716757044</t>
  </si>
  <si>
    <t>33985214.10691195</t>
  </si>
  <si>
    <t>3451182408.9405255</t>
  </si>
  <si>
    <t>58.88</t>
  </si>
  <si>
    <t>375900000.0</t>
  </si>
  <si>
    <t>79011</t>
  </si>
  <si>
    <t>36.43460072960001</t>
  </si>
  <si>
    <t>52196890.08972549</t>
  </si>
  <si>
    <t>34196552.09514159</t>
  </si>
  <si>
    <t>3417621105.0872893</t>
  </si>
  <si>
    <t>58.33</t>
  </si>
  <si>
    <t>371790000.0</t>
  </si>
  <si>
    <t>83440</t>
  </si>
  <si>
    <t>37.893734519999995</t>
  </si>
  <si>
    <t>40825243.4765435</t>
  </si>
  <si>
    <t>27114629.714872554</t>
  </si>
  <si>
    <t>3369525887.352093</t>
  </si>
  <si>
    <t>57.52</t>
  </si>
  <si>
    <t>343602000.0</t>
  </si>
  <si>
    <t>81575</t>
  </si>
  <si>
    <t>45.4654835576</t>
  </si>
  <si>
    <t>66821362.01240452</t>
  </si>
  <si>
    <t>52129828.04468277</t>
  </si>
  <si>
    <t>3489294050.120042</t>
  </si>
  <si>
    <t>59.58</t>
  </si>
  <si>
    <t>452464000.0</t>
  </si>
  <si>
    <t>83605</t>
  </si>
  <si>
    <t>40.3470153522</t>
  </si>
  <si>
    <t>52453357.54014728</t>
  </si>
  <si>
    <t>32852794.403546702</t>
  </si>
  <si>
    <t>3530550899.030313</t>
  </si>
  <si>
    <t>444830000.0</t>
  </si>
  <si>
    <t>84137</t>
  </si>
  <si>
    <t>42.790128813</t>
  </si>
  <si>
    <t>80609280.20527488</t>
  </si>
  <si>
    <t>52560116.24153057</t>
  </si>
  <si>
    <t>3576704171.532968</t>
  </si>
  <si>
    <t>61.1</t>
  </si>
  <si>
    <t>456583000.0</t>
  </si>
  <si>
    <t>89888</t>
  </si>
  <si>
    <t>47.047000000000004</t>
  </si>
  <si>
    <t>49505927.158530705</t>
  </si>
  <si>
    <t>28416849.962040372</t>
  </si>
  <si>
    <t>3607043407.9803734</t>
  </si>
  <si>
    <t>61.63</t>
  </si>
  <si>
    <t>463002000.0</t>
  </si>
  <si>
    <t>100125</t>
  </si>
  <si>
    <t>41.159442041300004</t>
  </si>
  <si>
    <t>43594020.78113912</t>
  </si>
  <si>
    <t>24220136.903400857</t>
  </si>
  <si>
    <t>3606395093.4926147</t>
  </si>
  <si>
    <t>61.64</t>
  </si>
  <si>
    <t>356028000.0</t>
  </si>
  <si>
    <t>84745</t>
  </si>
  <si>
    <t>39.200028886</t>
  </si>
  <si>
    <t>131621160.28744684</t>
  </si>
  <si>
    <t>63255665.2373563</t>
  </si>
  <si>
    <t>3694944157.8285947</t>
  </si>
  <si>
    <t>63.17</t>
  </si>
  <si>
    <t>459862000.0</t>
  </si>
  <si>
    <t>111345</t>
  </si>
  <si>
    <t>49.68446208300001</t>
  </si>
  <si>
    <t>96690776.87452637</t>
  </si>
  <si>
    <t>50777586.70704149</t>
  </si>
  <si>
    <t>3359711617.5404897</t>
  </si>
  <si>
    <t>57.45</t>
  </si>
  <si>
    <t>574277000.0</t>
  </si>
  <si>
    <t>89426</t>
  </si>
  <si>
    <t>57.43500555000001</t>
  </si>
  <si>
    <t>66997396.261621796</t>
  </si>
  <si>
    <t>42013927.206334315</t>
  </si>
  <si>
    <t>3358674558.423345</t>
  </si>
  <si>
    <t>294136000.0</t>
  </si>
  <si>
    <t>80868</t>
  </si>
  <si>
    <t>49.6868964</t>
  </si>
  <si>
    <t>46784562.110588</t>
  </si>
  <si>
    <t>29804492.13359532</t>
  </si>
  <si>
    <t>3391372796.711158</t>
  </si>
  <si>
    <t>58.02</t>
  </si>
  <si>
    <t>351579000.0</t>
  </si>
  <si>
    <t>81672</t>
  </si>
  <si>
    <t>48.573243940800005</t>
  </si>
  <si>
    <t>76583415.92837305</t>
  </si>
  <si>
    <t>53584968.639379114</t>
  </si>
  <si>
    <t>3584651267.2154565</t>
  </si>
  <si>
    <t>61.34</t>
  </si>
  <si>
    <t>296366000.0</t>
  </si>
  <si>
    <t>84037</t>
  </si>
  <si>
    <t>44.557582102400005</t>
  </si>
  <si>
    <t>52817197.29883341</t>
  </si>
  <si>
    <t>30490353.088369656</t>
  </si>
  <si>
    <t>3537468995.19635</t>
  </si>
  <si>
    <t>60.55</t>
  </si>
  <si>
    <t>304888000.0</t>
  </si>
  <si>
    <t>77346</t>
  </si>
  <si>
    <t>42.385000000000005</t>
  </si>
  <si>
    <t>76830643.7360308</t>
  </si>
  <si>
    <t>50446420.63867086</t>
  </si>
  <si>
    <t>3551738516.8287563</t>
  </si>
  <si>
    <t>60.81</t>
  </si>
  <si>
    <t>298424000.0</t>
  </si>
  <si>
    <t>84309</t>
  </si>
  <si>
    <t>43.77851763</t>
  </si>
  <si>
    <t>77504692.49510294</t>
  </si>
  <si>
    <t>45671814.38005178</t>
  </si>
  <si>
    <t>3315821354.5688405</t>
  </si>
  <si>
    <t>56.78</t>
  </si>
  <si>
    <t>398550000.0</t>
  </si>
  <si>
    <t>126209</t>
  </si>
  <si>
    <t>58.87894764960001</t>
  </si>
  <si>
    <t>100936135.836063</t>
  </si>
  <si>
    <t>81374188.92851366</t>
  </si>
  <si>
    <t>3174360766.969804</t>
  </si>
  <si>
    <t>54.37</t>
  </si>
  <si>
    <t>260631000.0</t>
  </si>
  <si>
    <t>89828</t>
  </si>
  <si>
    <t>53.2524105138</t>
  </si>
  <si>
    <t>42882733.604661025</t>
  </si>
  <si>
    <t>29548090.960921004</t>
  </si>
  <si>
    <t>3153129330.692804</t>
  </si>
  <si>
    <t>54.02</t>
  </si>
  <si>
    <t>271642000.0</t>
  </si>
  <si>
    <t>80373</t>
  </si>
  <si>
    <t>37.8049554314</t>
  </si>
  <si>
    <t>40252662.01384125</t>
  </si>
  <si>
    <t>25443275.85996628</t>
  </si>
  <si>
    <t>3051077641.15841</t>
  </si>
  <si>
    <t>52.29</t>
  </si>
  <si>
    <t>296552000.0</t>
  </si>
  <si>
    <t>82671</t>
  </si>
  <si>
    <t>36.6522446304</t>
  </si>
  <si>
    <t>46735643.21805329</t>
  </si>
  <si>
    <t>29585230.20042214</t>
  </si>
  <si>
    <t>3326383522.45946</t>
  </si>
  <si>
    <t>57.02</t>
  </si>
  <si>
    <t>261325000.0</t>
  </si>
  <si>
    <t>79424</t>
  </si>
  <si>
    <t>38.799845165600004</t>
  </si>
  <si>
    <t>34237324.98074896</t>
  </si>
  <si>
    <t>20622758.73463978</t>
  </si>
  <si>
    <t>3300046629.038441</t>
  </si>
  <si>
    <t>56.58</t>
  </si>
  <si>
    <t>253978000.0</t>
  </si>
  <si>
    <t>72936</t>
  </si>
  <si>
    <t>33.948</t>
  </si>
  <si>
    <t>39316251.08115557</t>
  </si>
  <si>
    <t>24577825.02582208</t>
  </si>
  <si>
    <t>3285297725.329219</t>
  </si>
  <si>
    <t>56.34</t>
  </si>
  <si>
    <t>252020000.0</t>
  </si>
  <si>
    <t>79441</t>
  </si>
  <si>
    <t>34.42238784</t>
  </si>
  <si>
    <t>49569918.4181002</t>
  </si>
  <si>
    <t>31262950.74399279</t>
  </si>
  <si>
    <t>3185588136.2212796</t>
  </si>
  <si>
    <t>54.65</t>
  </si>
  <si>
    <t>336190000.0</t>
  </si>
  <si>
    <t>84751</t>
  </si>
  <si>
    <t>41.195498446500004</t>
  </si>
  <si>
    <t>44782461.869472764</t>
  </si>
  <si>
    <t>25464732.835468635</t>
  </si>
  <si>
    <t>3023333432.7363405</t>
  </si>
  <si>
    <t>51.88</t>
  </si>
  <si>
    <t>295074000.0</t>
  </si>
  <si>
    <t>85535</t>
  </si>
  <si>
    <t>38.670083534</t>
  </si>
  <si>
    <t>53409792.33556263</t>
  </si>
  <si>
    <t>30567794.23781128</t>
  </si>
  <si>
    <t>3052287065.298297</t>
  </si>
  <si>
    <t>52.39</t>
  </si>
  <si>
    <t>290357000.0</t>
  </si>
  <si>
    <t>85064</t>
  </si>
  <si>
    <t>47.605796018300005</t>
  </si>
  <si>
    <t>65925178.59521315</t>
  </si>
  <si>
    <t>26826223.88124737</t>
  </si>
  <si>
    <t>3180930069.4922667</t>
  </si>
  <si>
    <t>54.61</t>
  </si>
  <si>
    <t>272379000.0</t>
  </si>
  <si>
    <t>83968</t>
  </si>
  <si>
    <t>39.8923658082</t>
  </si>
  <si>
    <t>55364042.598678194</t>
  </si>
  <si>
    <t>36388974.65433691</t>
  </si>
  <si>
    <t>3202176184.392857</t>
  </si>
  <si>
    <t>54.99</t>
  </si>
  <si>
    <t>251240000.0</t>
  </si>
  <si>
    <t>82714</t>
  </si>
  <si>
    <t>36.8700922278</t>
  </si>
  <si>
    <t>40472634.46666594</t>
  </si>
  <si>
    <t>17959949.985909496</t>
  </si>
  <si>
    <t>3101708610.9278955</t>
  </si>
  <si>
    <t>53.27</t>
  </si>
  <si>
    <t>253320000.0</t>
  </si>
  <si>
    <t>79181</t>
  </si>
  <si>
    <t>31.573129</t>
  </si>
  <si>
    <t>59140535.61477995</t>
  </si>
  <si>
    <t>21994474.018554237</t>
  </si>
  <si>
    <t>3267479229.487416</t>
  </si>
  <si>
    <t>56.13</t>
  </si>
  <si>
    <t>223684000.0</t>
  </si>
  <si>
    <t>78106</t>
  </si>
  <si>
    <t>33.49687522560001</t>
  </si>
  <si>
    <t>51157437.081651546</t>
  </si>
  <si>
    <t>31709304.169987757</t>
  </si>
  <si>
    <t>3336636075.972598</t>
  </si>
  <si>
    <t>57.34</t>
  </si>
  <si>
    <t>229626000.0</t>
  </si>
  <si>
    <t>85174</t>
  </si>
  <si>
    <t>36.656986651400004</t>
  </si>
  <si>
    <t>89097438.1376232</t>
  </si>
  <si>
    <t>56162832.5972076</t>
  </si>
  <si>
    <t>3392778071.803792</t>
  </si>
  <si>
    <t>58.32</t>
  </si>
  <si>
    <t>351270000.0</t>
  </si>
  <si>
    <t>87850</t>
  </si>
  <si>
    <t>44.213423680800005</t>
  </si>
  <si>
    <t>77819134.68274796</t>
  </si>
  <si>
    <t>49536867.88063343</t>
  </si>
  <si>
    <t>3935887729.693019</t>
  </si>
  <si>
    <t>67.67</t>
  </si>
  <si>
    <t>409226000.0</t>
  </si>
  <si>
    <t>88915</t>
  </si>
  <si>
    <t>51.383319740000005</t>
  </si>
  <si>
    <t>67245505.63170557</t>
  </si>
  <si>
    <t>40186057.08088023</t>
  </si>
  <si>
    <t>3798346106.18402</t>
  </si>
  <si>
    <t>65.32</t>
  </si>
  <si>
    <t>308206000.0</t>
  </si>
  <si>
    <t>94045</t>
  </si>
  <si>
    <t>47.033375326</t>
  </si>
  <si>
    <t>61406099.649574645</t>
  </si>
  <si>
    <t>42114935.411799945</t>
  </si>
  <si>
    <t>3826689211.8485537</t>
  </si>
  <si>
    <t>65.82</t>
  </si>
  <si>
    <t>235034000.0</t>
  </si>
  <si>
    <t>91902</t>
  </si>
  <si>
    <t>0.056740789199999996</t>
  </si>
  <si>
    <t>63160252.883843236</t>
  </si>
  <si>
    <t>35858298.88579495</t>
  </si>
  <si>
    <t>3834782183.957045</t>
  </si>
  <si>
    <t>65.98</t>
  </si>
  <si>
    <t>265104000.0</t>
  </si>
  <si>
    <t>79796</t>
  </si>
  <si>
    <t>35.9358400706</t>
  </si>
  <si>
    <t>59907043.21752884</t>
  </si>
  <si>
    <t>37578596.67431872</t>
  </si>
  <si>
    <t>3587596247.176649</t>
  </si>
  <si>
    <t>61.74</t>
  </si>
  <si>
    <t>306586000.0</t>
  </si>
  <si>
    <t>85734</t>
  </si>
  <si>
    <t>41.9721985494</t>
  </si>
  <si>
    <t>42328706.12277224</t>
  </si>
  <si>
    <t>21934621.599232942</t>
  </si>
  <si>
    <t>3509672890.6988535</t>
  </si>
  <si>
    <t>60.42</t>
  </si>
  <si>
    <t>265251999.99999997</t>
  </si>
  <si>
    <t>84766</t>
  </si>
  <si>
    <t>43.013109777000004</t>
  </si>
  <si>
    <t>40782879.48335156</t>
  </si>
  <si>
    <t>25210358.351870444</t>
  </si>
  <si>
    <t>3587178920.9567313</t>
  </si>
  <si>
    <t>61.77</t>
  </si>
  <si>
    <t>219094000.0</t>
  </si>
  <si>
    <t>81053</t>
  </si>
  <si>
    <t>47.7142161159</t>
  </si>
  <si>
    <t>49399635.23774939</t>
  </si>
  <si>
    <t>30559936.76394013</t>
  </si>
  <si>
    <t>3659586203.456046</t>
  </si>
  <si>
    <t>63.03</t>
  </si>
  <si>
    <t>220637000.0</t>
  </si>
  <si>
    <t>50.3269747695</t>
  </si>
  <si>
    <t>66187563.734373674</t>
  </si>
  <si>
    <t>38557015.120140426</t>
  </si>
  <si>
    <t>3496514581.6610594</t>
  </si>
  <si>
    <t>60.23</t>
  </si>
  <si>
    <t>246764000.0</t>
  </si>
  <si>
    <t>87576</t>
  </si>
  <si>
    <t>60.109539999999996</t>
  </si>
  <si>
    <t>71814503.34386696</t>
  </si>
  <si>
    <t>39131082.796103194</t>
  </si>
  <si>
    <t>3323074562.052116</t>
  </si>
  <si>
    <t>57.26</t>
  </si>
  <si>
    <t>228072000.0</t>
  </si>
  <si>
    <t>79844</t>
  </si>
  <si>
    <t>46.0255124168</t>
  </si>
  <si>
    <t>45544040.981113516</t>
  </si>
  <si>
    <t>31952662.23670147</t>
  </si>
  <si>
    <t>3368342782.9827313</t>
  </si>
  <si>
    <t>58.05</t>
  </si>
  <si>
    <t>206572000.0</t>
  </si>
  <si>
    <t>71627</t>
  </si>
  <si>
    <t>38.8113505425</t>
  </si>
  <si>
    <t>39171715.81215354</t>
  </si>
  <si>
    <t>22108582.76582544</t>
  </si>
  <si>
    <t>3359643879.0122604</t>
  </si>
  <si>
    <t>57.92</t>
  </si>
  <si>
    <t>187571000.0</t>
  </si>
  <si>
    <t>75540</t>
  </si>
  <si>
    <t>38.9564701408</t>
  </si>
  <si>
    <t>53903552.60796307</t>
  </si>
  <si>
    <t>32261222.65999392</t>
  </si>
  <si>
    <t>3340306341.253237</t>
  </si>
  <si>
    <t>57.6</t>
  </si>
  <si>
    <t>194676000.0</t>
  </si>
  <si>
    <t>82387</t>
  </si>
  <si>
    <t>44.879884416</t>
  </si>
  <si>
    <t>48011324.85457911</t>
  </si>
  <si>
    <t>21475093.39213068</t>
  </si>
  <si>
    <t>3199953761.619569</t>
  </si>
  <si>
    <t>55.19</t>
  </si>
  <si>
    <t>205125000.0</t>
  </si>
  <si>
    <t>79759</t>
  </si>
  <si>
    <t>45.8334069501</t>
  </si>
  <si>
    <t>80909294.95995684</t>
  </si>
  <si>
    <t>30934372.278591692</t>
  </si>
  <si>
    <t>3284103567.7223425</t>
  </si>
  <si>
    <t>56.66</t>
  </si>
  <si>
    <t>228893000.0</t>
  </si>
  <si>
    <t>79422</t>
  </si>
  <si>
    <t>52.3391038672</t>
  </si>
  <si>
    <t>59198100.861753784</t>
  </si>
  <si>
    <t>30404385.206893295</t>
  </si>
  <si>
    <t>3115903503.6126</t>
  </si>
  <si>
    <t>53.77</t>
  </si>
  <si>
    <t>187486000.0</t>
  </si>
  <si>
    <t>79144</t>
  </si>
  <si>
    <t>45.86581</t>
  </si>
  <si>
    <t>56589567.727996685</t>
  </si>
  <si>
    <t>28923257.931838144</t>
  </si>
  <si>
    <t>3354743434.925555</t>
  </si>
  <si>
    <t>57.91</t>
  </si>
  <si>
    <t>244192000.0</t>
  </si>
  <si>
    <t>82814</t>
  </si>
  <si>
    <t>46.544691691699995</t>
  </si>
  <si>
    <t>42513384.876042284</t>
  </si>
  <si>
    <t>21044218.93388317</t>
  </si>
  <si>
    <t>3314069282.360718</t>
  </si>
  <si>
    <t>57.22</t>
  </si>
  <si>
    <t>204484000.0</t>
  </si>
  <si>
    <t>83290</t>
  </si>
  <si>
    <t>35.3278076708</t>
  </si>
  <si>
    <t>65930461.98253839</t>
  </si>
  <si>
    <t>36609724.31540057</t>
  </si>
  <si>
    <t>3564347799.689246</t>
  </si>
  <si>
    <t>61.56</t>
  </si>
  <si>
    <t>243057000.0</t>
  </si>
  <si>
    <t>80416</t>
  </si>
  <si>
    <t>50.043857529600004</t>
  </si>
  <si>
    <t>59422315.74693063</t>
  </si>
  <si>
    <t>32739505.82459194</t>
  </si>
  <si>
    <t>3203227961.164851</t>
  </si>
  <si>
    <t>55.33</t>
  </si>
  <si>
    <t>263383000.00000003</t>
  </si>
  <si>
    <t>89724</t>
  </si>
  <si>
    <t>52.554991352600005</t>
  </si>
  <si>
    <t>54990315.64185857</t>
  </si>
  <si>
    <t>30163998.76604597</t>
  </si>
  <si>
    <t>3156660385.2214594</t>
  </si>
  <si>
    <t>54.54</t>
  </si>
  <si>
    <t>211779000.0</t>
  </si>
  <si>
    <t>86621</t>
  </si>
  <si>
    <t>51.4271005938</t>
  </si>
  <si>
    <t>96811708.20265548</t>
  </si>
  <si>
    <t>44558873.316607244</t>
  </si>
  <si>
    <t>3163928781.9713764</t>
  </si>
  <si>
    <t>54.68</t>
  </si>
  <si>
    <t>282699000.0</t>
  </si>
  <si>
    <t>90976</t>
  </si>
  <si>
    <t>57.5391668944</t>
  </si>
  <si>
    <t>105096550.21321434</t>
  </si>
  <si>
    <t>51103068.67126683</t>
  </si>
  <si>
    <t>3297297373.515396</t>
  </si>
  <si>
    <t>57.0</t>
  </si>
  <si>
    <t>250439999.99999997</t>
  </si>
  <si>
    <t>96439</t>
  </si>
  <si>
    <t>72.06000021</t>
  </si>
  <si>
    <t>69820148.26734464</t>
  </si>
  <si>
    <t>34632355.93849814</t>
  </si>
  <si>
    <t>3439851961.4606857</t>
  </si>
  <si>
    <t>59.48</t>
  </si>
  <si>
    <t>223061000.0</t>
  </si>
  <si>
    <t>90164</t>
  </si>
  <si>
    <t>52.413665961999996</t>
  </si>
  <si>
    <t>48601898.404542245</t>
  </si>
  <si>
    <t>25901233.55908577</t>
  </si>
  <si>
    <t>3366200745.6588573</t>
  </si>
  <si>
    <t>58.22</t>
  </si>
  <si>
    <t>276383000.0</t>
  </si>
  <si>
    <t>74467</t>
  </si>
  <si>
    <t>40.754000000000005</t>
  </si>
  <si>
    <t>69455784.01146205</t>
  </si>
  <si>
    <t>37691299.77370988</t>
  </si>
  <si>
    <t>3438942416.7270393</t>
  </si>
  <si>
    <t>59.49</t>
  </si>
  <si>
    <t>259948000.0</t>
  </si>
  <si>
    <t>83233</t>
  </si>
  <si>
    <t>59.47673373000001</t>
  </si>
  <si>
    <t>78491818.54465042</t>
  </si>
  <si>
    <t>45225261.11873471</t>
  </si>
  <si>
    <t>3697994392.069035</t>
  </si>
  <si>
    <t>63.98</t>
  </si>
  <si>
    <t>259781000.0</t>
  </si>
  <si>
    <t>88453</t>
  </si>
  <si>
    <t>55.3277529924</t>
  </si>
  <si>
    <t>110060644.46317002</t>
  </si>
  <si>
    <t>56903357.51424351</t>
  </si>
  <si>
    <t>3609679306.132073</t>
  </si>
  <si>
    <t>62.47</t>
  </si>
  <si>
    <t>270095000.0</t>
  </si>
  <si>
    <t>104675</t>
  </si>
  <si>
    <t>62.384194331500005</t>
  </si>
  <si>
    <t>178119794.4618036</t>
  </si>
  <si>
    <t>124883759.31817614</t>
  </si>
  <si>
    <t>3937363059.525684</t>
  </si>
  <si>
    <t>68.16</t>
  </si>
  <si>
    <t>313186999.99999994</t>
  </si>
  <si>
    <t>99513</t>
  </si>
  <si>
    <t>69.2357822304</t>
  </si>
  <si>
    <t>68122128.24468638</t>
  </si>
  <si>
    <t>36177530.6856699</t>
  </si>
  <si>
    <t>4273619228.2528973</t>
  </si>
  <si>
    <t>74.0</t>
  </si>
  <si>
    <t>299418000.0</t>
  </si>
  <si>
    <t>96555</t>
  </si>
  <si>
    <t>66.60000000000001</t>
  </si>
  <si>
    <t>77924619.1950968</t>
  </si>
  <si>
    <t>47052304.618466094</t>
  </si>
  <si>
    <t>4333544342.338612</t>
  </si>
  <si>
    <t>75.06</t>
  </si>
  <si>
    <t>265134000.0</t>
  </si>
  <si>
    <t>87834</t>
  </si>
  <si>
    <t>63.78215994</t>
  </si>
  <si>
    <t>43689798.736587025</t>
  </si>
  <si>
    <t>25838064.608134612</t>
  </si>
  <si>
    <t>4235527923.0301642</t>
  </si>
  <si>
    <t>73.38</t>
  </si>
  <si>
    <t>265627000.0</t>
  </si>
  <si>
    <t>78131</t>
  </si>
  <si>
    <t>52.0295048952</t>
  </si>
  <si>
    <t>88243686.76595937</t>
  </si>
  <si>
    <t>60569964.70288416</t>
  </si>
  <si>
    <t>4467519722.939344</t>
  </si>
  <si>
    <t>77.42</t>
  </si>
  <si>
    <t>262765000.0</t>
  </si>
  <si>
    <t>83630</t>
  </si>
  <si>
    <t>57.8971542142</t>
  </si>
  <si>
    <t>62306248.772563845</t>
  </si>
  <si>
    <t>35355918.70056543</t>
  </si>
  <si>
    <t>4401612249.909723</t>
  </si>
  <si>
    <t>76.3</t>
  </si>
  <si>
    <t>298295000.0</t>
  </si>
  <si>
    <t>93391</t>
  </si>
  <si>
    <t>64.87020659</t>
  </si>
  <si>
    <t>62853044.57908822</t>
  </si>
  <si>
    <t>40001134.556617215</t>
  </si>
  <si>
    <t>4482085344.646703</t>
  </si>
  <si>
    <t>77.71</t>
  </si>
  <si>
    <t>285466000.0</t>
  </si>
  <si>
    <t>92298</t>
  </si>
  <si>
    <t>63.132257541099996</t>
  </si>
  <si>
    <t>61873990.55119381</t>
  </si>
  <si>
    <t>37964180.827986024</t>
  </si>
  <si>
    <t>4635305358.171975</t>
  </si>
  <si>
    <t>80.39</t>
  </si>
  <si>
    <t>301530000.0</t>
  </si>
  <si>
    <t>89755</t>
  </si>
  <si>
    <t>72.01479374590001</t>
  </si>
  <si>
    <t>112263493.55752213</t>
  </si>
  <si>
    <t>51905832.51759371</t>
  </si>
  <si>
    <t>4767355161.857214</t>
  </si>
  <si>
    <t>82.69</t>
  </si>
  <si>
    <t>319362000.0</t>
  </si>
  <si>
    <t>92609</t>
  </si>
  <si>
    <t>82.67619076999999</t>
  </si>
  <si>
    <t>85018871.96611995</t>
  </si>
  <si>
    <t>44524826.32325598</t>
  </si>
  <si>
    <t>4850263995.224503</t>
  </si>
  <si>
    <t>84.15</t>
  </si>
  <si>
    <t>313998000.0</t>
  </si>
  <si>
    <t>86689</t>
  </si>
  <si>
    <t>66.8151</t>
  </si>
  <si>
    <t>51813097.67696413</t>
  </si>
  <si>
    <t>30488162.38525272</t>
  </si>
  <si>
    <t>4843699973.2379875</t>
  </si>
  <si>
    <t>84.05</t>
  </si>
  <si>
    <t>276696000.0</t>
  </si>
  <si>
    <t>81420</t>
  </si>
  <si>
    <t>57.92753904600001</t>
  </si>
  <si>
    <t>45923020.466778465</t>
  </si>
  <si>
    <t>27220607.971756753</t>
  </si>
  <si>
    <t>4870692878.882325</t>
  </si>
  <si>
    <t>84.54</t>
  </si>
  <si>
    <t>279804992.0</t>
  </si>
  <si>
    <t>79578</t>
  </si>
  <si>
    <t>59.44007315460001</t>
  </si>
  <si>
    <t>60571074.04543293</t>
  </si>
  <si>
    <t>38357306.224199</t>
  </si>
  <si>
    <t>4822811330.70128</t>
  </si>
  <si>
    <t>83.73</t>
  </si>
  <si>
    <t>358798016.0</t>
  </si>
  <si>
    <t>87064</t>
  </si>
  <si>
    <t>66.9090373683</t>
  </si>
  <si>
    <t>71043689.44068192</t>
  </si>
  <si>
    <t>38414585.31347873</t>
  </si>
  <si>
    <t>4968213254.643341</t>
  </si>
  <si>
    <t>86.28</t>
  </si>
  <si>
    <t>286579008.0</t>
  </si>
  <si>
    <t>87512</t>
  </si>
  <si>
    <t>75.00013156920001</t>
  </si>
  <si>
    <t>74501385.28216232</t>
  </si>
  <si>
    <t>42673406.479453065</t>
  </si>
  <si>
    <t>5104080070.366713</t>
  </si>
  <si>
    <t>88.66</t>
  </si>
  <si>
    <t>310156992.0</t>
  </si>
  <si>
    <t>103109</t>
  </si>
  <si>
    <t>84.0312050292</t>
  </si>
  <si>
    <t>80388585.17418088</t>
  </si>
  <si>
    <t>48164806.41234351</t>
  </si>
  <si>
    <t>4758185480.942547</t>
  </si>
  <si>
    <t>82.68</t>
  </si>
  <si>
    <t>440572992.0</t>
  </si>
  <si>
    <t>94116</t>
  </si>
  <si>
    <t>66831258.80929932</t>
  </si>
  <si>
    <t>37643177.17700413</t>
  </si>
  <si>
    <t>4788970193.536697</t>
  </si>
  <si>
    <t>83.23</t>
  </si>
  <si>
    <t>296071008.0</t>
  </si>
  <si>
    <t>92198</t>
  </si>
  <si>
    <t>76.089997928</t>
  </si>
  <si>
    <t>61837432.68734996</t>
  </si>
  <si>
    <t>36051397.906153485</t>
  </si>
  <si>
    <t>4846523859.468254</t>
  </si>
  <si>
    <t>84.26</t>
  </si>
  <si>
    <t>245916992.0</t>
  </si>
  <si>
    <t>81770</t>
  </si>
  <si>
    <t>61.141436345</t>
  </si>
  <si>
    <t>70965770.6949079</t>
  </si>
  <si>
    <t>47610636.84290331</t>
  </si>
  <si>
    <t>4753841697.441393</t>
  </si>
  <si>
    <t>82.66</t>
  </si>
  <si>
    <t>246152992.00000003</t>
  </si>
  <si>
    <t>88898</t>
  </si>
  <si>
    <t>62.6463368286</t>
  </si>
  <si>
    <t>89338002.77617034</t>
  </si>
  <si>
    <t>52788872.78708292</t>
  </si>
  <si>
    <t>4983942081.0861635</t>
  </si>
  <si>
    <t>86.68</t>
  </si>
  <si>
    <t>287448000.0</t>
  </si>
  <si>
    <t>99181</t>
  </si>
  <si>
    <t>80.31630112</t>
  </si>
  <si>
    <t>73327546.59926006</t>
  </si>
  <si>
    <t>40717951.226737924</t>
  </si>
  <si>
    <t>4994979990.279221</t>
  </si>
  <si>
    <t>86.9</t>
  </si>
  <si>
    <t>307785984.0</t>
  </si>
  <si>
    <t>90589</t>
  </si>
  <si>
    <t>83.0987333</t>
  </si>
  <si>
    <t>113998121.98654644</t>
  </si>
  <si>
    <t>68507564.15427989</t>
  </si>
  <si>
    <t>5161797749.167203</t>
  </si>
  <si>
    <t>89.82</t>
  </si>
  <si>
    <t>375428992.0</t>
  </si>
  <si>
    <t>96462</t>
  </si>
  <si>
    <t>95.3945723124</t>
  </si>
  <si>
    <t>93406736.95988847</t>
  </si>
  <si>
    <t>55059543.338959046</t>
  </si>
  <si>
    <t>4843006522.350517</t>
  </si>
  <si>
    <t>84.3</t>
  </si>
  <si>
    <t>341836000.0</t>
  </si>
  <si>
    <t>93532</t>
  </si>
  <si>
    <t>90.877498227</t>
  </si>
  <si>
    <t>74401990.75682719</t>
  </si>
  <si>
    <t>45635782.02688623</t>
  </si>
  <si>
    <t>4535020151.2</t>
  </si>
  <si>
    <t>78.96</t>
  </si>
  <si>
    <t>307904000.0</t>
  </si>
  <si>
    <t>93470</t>
  </si>
  <si>
    <t>75.76306751999999</t>
  </si>
  <si>
    <t>56428916.935768805</t>
  </si>
  <si>
    <t>28323659.620745283</t>
  </si>
  <si>
    <t>4404162395.620725</t>
  </si>
  <si>
    <t>76.7</t>
  </si>
  <si>
    <t>230467008.0</t>
  </si>
  <si>
    <t>80277</t>
  </si>
  <si>
    <t>72.993945739</t>
  </si>
  <si>
    <t>44194412.76758857</t>
  </si>
  <si>
    <t>29229648.610945575</t>
  </si>
  <si>
    <t>4418690234.54927</t>
  </si>
  <si>
    <t>76.97</t>
  </si>
  <si>
    <t>197776000.0</t>
  </si>
  <si>
    <t>80298</t>
  </si>
  <si>
    <t>75.41789995</t>
  </si>
  <si>
    <t>59559765.23257498</t>
  </si>
  <si>
    <t>33552286.161480043</t>
  </si>
  <si>
    <t>4435928017.36769</t>
  </si>
  <si>
    <t>256038000.0</t>
  </si>
  <si>
    <t>90508</t>
  </si>
  <si>
    <t>77.2770276464</t>
  </si>
  <si>
    <t>86845140.38007113</t>
  </si>
  <si>
    <t>40417052.20932879</t>
  </si>
  <si>
    <t>4509161181.397735</t>
  </si>
  <si>
    <t>78.59</t>
  </si>
  <si>
    <t>267396992.0</t>
  </si>
  <si>
    <t>85757</t>
  </si>
  <si>
    <t>383690078.6788348</t>
  </si>
  <si>
    <t>43887350.14438588</t>
  </si>
  <si>
    <t>4367025057.629478</t>
  </si>
  <si>
    <t>76.13</t>
  </si>
  <si>
    <t>284915008.0</t>
  </si>
  <si>
    <t>87006</t>
  </si>
  <si>
    <t>89.2595175953</t>
  </si>
  <si>
    <t>119400292.84370118</t>
  </si>
  <si>
    <t>78842498.2889645</t>
  </si>
  <si>
    <t>4632857945.679285</t>
  </si>
  <si>
    <t>80.78</t>
  </si>
  <si>
    <t>321614016.0</t>
  </si>
  <si>
    <t>93288</t>
  </si>
  <si>
    <t>99.6203622134</t>
  </si>
  <si>
    <t>75233990.29849286</t>
  </si>
  <si>
    <t>46823236.39762231</t>
  </si>
  <si>
    <t>4732371608.188227</t>
  </si>
  <si>
    <t>82.54</t>
  </si>
  <si>
    <t>263326000.0</t>
  </si>
  <si>
    <t>94817</t>
  </si>
  <si>
    <t>92.00519113460001</t>
  </si>
  <si>
    <t>74981593.10659198</t>
  </si>
  <si>
    <t>36695843.96348173</t>
  </si>
  <si>
    <t>4944223801.216505</t>
  </si>
  <si>
    <t>86.26</t>
  </si>
  <si>
    <t>239655008.00000003</t>
  </si>
  <si>
    <t>88941</t>
  </si>
  <si>
    <t>94.3714254586</t>
  </si>
  <si>
    <t>71120707.90622745</t>
  </si>
  <si>
    <t>37564133.77534963</t>
  </si>
  <si>
    <t>4779375365.631091</t>
  </si>
  <si>
    <t>83.4</t>
  </si>
  <si>
    <t>238936991.99999997</t>
  </si>
  <si>
    <t>82517</t>
  </si>
  <si>
    <t>91347904.75997277</t>
  </si>
  <si>
    <t>54135307.803820685</t>
  </si>
  <si>
    <t>4803115248.111298</t>
  </si>
  <si>
    <t>83.84</t>
  </si>
  <si>
    <t>253160000.0</t>
  </si>
  <si>
    <t>86929</t>
  </si>
  <si>
    <t>84.532170464</t>
  </si>
  <si>
    <t>136321382.48749384</t>
  </si>
  <si>
    <t>64810083.286947526</t>
  </si>
  <si>
    <t>4905669781.07808</t>
  </si>
  <si>
    <t>85.65</t>
  </si>
  <si>
    <t>306121984.0</t>
  </si>
  <si>
    <t>88658</t>
  </si>
  <si>
    <t>96.65680270200001</t>
  </si>
  <si>
    <t>130681357.67191237</t>
  </si>
  <si>
    <t>71667177.82214049</t>
  </si>
  <si>
    <t>4877272842.934496</t>
  </si>
  <si>
    <t>282222016.0</t>
  </si>
  <si>
    <t>88468</t>
  </si>
  <si>
    <t>85.97068317</t>
  </si>
  <si>
    <t>95326466.31501932</t>
  </si>
  <si>
    <t>49386374.33347087</t>
  </si>
  <si>
    <t>4888579249.943126</t>
  </si>
  <si>
    <t>85.39</t>
  </si>
  <si>
    <t>343900992.0</t>
  </si>
  <si>
    <t>89981</t>
  </si>
  <si>
    <t>116.7104773253</t>
  </si>
  <si>
    <t>95005841.25195976</t>
  </si>
  <si>
    <t>55536252.18945874</t>
  </si>
  <si>
    <t>4594163077.9931965</t>
  </si>
  <si>
    <t>80.27</t>
  </si>
  <si>
    <t>302471008.0</t>
  </si>
  <si>
    <t>110033</t>
  </si>
  <si>
    <t>94.9108209636</t>
  </si>
  <si>
    <t>51750622.800826766</t>
  </si>
  <si>
    <t>25134001.206617296</t>
  </si>
  <si>
    <t>4663826421.728564</t>
  </si>
  <si>
    <t>81.5</t>
  </si>
  <si>
    <t>343401984.0</t>
  </si>
  <si>
    <t>81607</t>
  </si>
  <si>
    <t>81.4865525</t>
  </si>
  <si>
    <t>66952821.118273355</t>
  </si>
  <si>
    <t>34954120.24361563</t>
  </si>
  <si>
    <t>4516854495.596043</t>
  </si>
  <si>
    <t>276550016.0</t>
  </si>
  <si>
    <t>87099</t>
  </si>
  <si>
    <t>77.97804655</t>
  </si>
  <si>
    <t>79142181.87189747</t>
  </si>
  <si>
    <t>43987869.94227275</t>
  </si>
  <si>
    <t>4278561368.8463883</t>
  </si>
  <si>
    <t>74.81</t>
  </si>
  <si>
    <t>309339008.0</t>
  </si>
  <si>
    <t>92505</t>
  </si>
  <si>
    <t>85.50175093940001</t>
  </si>
  <si>
    <t>69943438.27181482</t>
  </si>
  <si>
    <t>41761417.93653967</t>
  </si>
  <si>
    <t>4610243460.483518</t>
  </si>
  <si>
    <t>80.63</t>
  </si>
  <si>
    <t>263414000.0</t>
  </si>
  <si>
    <t>112945</t>
  </si>
  <si>
    <t>87.13203625829999</t>
  </si>
  <si>
    <t>94381308.55830123</t>
  </si>
  <si>
    <t>53941637.16363833</t>
  </si>
  <si>
    <t>4397656010.151253</t>
  </si>
  <si>
    <t>76.93</t>
  </si>
  <si>
    <t>274128000.0</t>
  </si>
  <si>
    <t>133508</t>
  </si>
  <si>
    <t>85.4013285048</t>
  </si>
  <si>
    <t>82850136.3644726</t>
  </si>
  <si>
    <t>49609231.68435555</t>
  </si>
  <si>
    <t>4675946925.586834</t>
  </si>
  <si>
    <t>81.82</t>
  </si>
  <si>
    <t>258432992.0</t>
  </si>
  <si>
    <t>87415</t>
  </si>
  <si>
    <t>88.91980367899998</t>
  </si>
  <si>
    <t>95084024.15634876</t>
  </si>
  <si>
    <t>52618344.42879779</t>
  </si>
  <si>
    <t>4592395648.783943</t>
  </si>
  <si>
    <t>80.37</t>
  </si>
  <si>
    <t>458366016.0</t>
  </si>
  <si>
    <t>89170</t>
  </si>
  <si>
    <t>100.25468970210001</t>
  </si>
  <si>
    <t>90137037.86179598</t>
  </si>
  <si>
    <t>49545400.53385963</t>
  </si>
  <si>
    <t>4726244924.610052</t>
  </si>
  <si>
    <t>82.74</t>
  </si>
  <si>
    <t>449884992.0</t>
  </si>
  <si>
    <t>87796</t>
  </si>
  <si>
    <t>127.2043858134</t>
  </si>
  <si>
    <t>84342358.77677496</t>
  </si>
  <si>
    <t>48080106.351344824</t>
  </si>
  <si>
    <t>4859663129.230025</t>
  </si>
  <si>
    <t>85.09</t>
  </si>
  <si>
    <t>439203008.0</t>
  </si>
  <si>
    <t>84926</t>
  </si>
  <si>
    <t>101.695492189</t>
  </si>
  <si>
    <t>134111170.97078991</t>
  </si>
  <si>
    <t>70982735.50637574</t>
  </si>
  <si>
    <t>5534561611.776211</t>
  </si>
  <si>
    <t>96.94</t>
  </si>
  <si>
    <t>458636992.0</t>
  </si>
  <si>
    <t>99310</t>
  </si>
  <si>
    <t>158.4859293002</t>
  </si>
  <si>
    <t>94716573.82433955</t>
  </si>
  <si>
    <t>50605382.09358978</t>
  </si>
  <si>
    <t>5586882990.509027</t>
  </si>
  <si>
    <t>97.88</t>
  </si>
  <si>
    <t>261543999.99999997</t>
  </si>
  <si>
    <t>96957</t>
  </si>
  <si>
    <t>97.8638498</t>
  </si>
  <si>
    <t>112185690.39290202</t>
  </si>
  <si>
    <t>59553795.754364945</t>
  </si>
  <si>
    <t>5647532502.744362</t>
  </si>
  <si>
    <t>98.96</t>
  </si>
  <si>
    <t>261391999.99999997</t>
  </si>
  <si>
    <t>89602</t>
  </si>
  <si>
    <t>107.970308</t>
  </si>
  <si>
    <t>127096862.32469526</t>
  </si>
  <si>
    <t>74455905.85987175</t>
  </si>
  <si>
    <t>5632691430.525698</t>
  </si>
  <si>
    <t>98.73</t>
  </si>
  <si>
    <t>284982016.0</t>
  </si>
  <si>
    <t>92024</t>
  </si>
  <si>
    <t>107.6137797015</t>
  </si>
  <si>
    <t>123082164.39537945</t>
  </si>
  <si>
    <t>79430007.32684559</t>
  </si>
  <si>
    <t>5462550172.981482</t>
  </si>
  <si>
    <t>95.77</t>
  </si>
  <si>
    <t>282937984.0</t>
  </si>
  <si>
    <t>90071</t>
  </si>
  <si>
    <t>104.4020919989</t>
  </si>
  <si>
    <t>80742248.29139827</t>
  </si>
  <si>
    <t>48779244.71372415</t>
  </si>
  <si>
    <t>5572608924.574818</t>
  </si>
  <si>
    <t>97.72</t>
  </si>
  <si>
    <t>242331008.0</t>
  </si>
  <si>
    <t>81026</t>
  </si>
  <si>
    <t>97.50247528</t>
  </si>
  <si>
    <t>91661233.57847998</t>
  </si>
  <si>
    <t>46859857.754938014</t>
  </si>
  <si>
    <t>5505868190.902029</t>
  </si>
  <si>
    <t>96.58</t>
  </si>
  <si>
    <t>259324992.0</t>
  </si>
  <si>
    <t>82733</t>
  </si>
  <si>
    <t>96.56387113999999</t>
  </si>
  <si>
    <t>139031365.22811678</t>
  </si>
  <si>
    <t>74971562.10831778</t>
  </si>
  <si>
    <t>5762624179.2226925</t>
  </si>
  <si>
    <t>101.11</t>
  </si>
  <si>
    <t>293284992.0</t>
  </si>
  <si>
    <t>94895</t>
  </si>
  <si>
    <t>107.26304905</t>
  </si>
  <si>
    <t>160525021.13954446</t>
  </si>
  <si>
    <t>79243323.04130736</t>
  </si>
  <si>
    <t>5356008326.6805725</t>
  </si>
  <si>
    <t>93.99</t>
  </si>
  <si>
    <t>367742016.0</t>
  </si>
  <si>
    <t>105548</t>
  </si>
  <si>
    <t>134.4460423878</t>
  </si>
  <si>
    <t>215425522.18888545</t>
  </si>
  <si>
    <t>128698620.49452743</t>
  </si>
  <si>
    <t>5742173455.714285</t>
  </si>
  <si>
    <t>100.8</t>
  </si>
  <si>
    <t>360492992.0</t>
  </si>
  <si>
    <t>102501</t>
  </si>
  <si>
    <t>165.18831940799998</t>
  </si>
  <si>
    <t>229643366.84160632</t>
  </si>
  <si>
    <t>122700916.08168574</t>
  </si>
  <si>
    <t>6118745822.316328</t>
  </si>
  <si>
    <t>107.43</t>
  </si>
  <si>
    <t>333163008.0</t>
  </si>
  <si>
    <t>98761</t>
  </si>
  <si>
    <t>154.588729731</t>
  </si>
  <si>
    <t>197705602.88552946</t>
  </si>
  <si>
    <t>104182641.78911693</t>
  </si>
  <si>
    <t>6066076429.279948</t>
  </si>
  <si>
    <t>106.54</t>
  </si>
  <si>
    <t>331430016.0</t>
  </si>
  <si>
    <t>98889</t>
  </si>
  <si>
    <t>135.75645461140002</t>
  </si>
  <si>
    <t>236179420.55251342</t>
  </si>
  <si>
    <t>123263879.56758954</t>
  </si>
  <si>
    <t>6692455723.93124</t>
  </si>
  <si>
    <t>117.56</t>
  </si>
  <si>
    <t>399889984.0</t>
  </si>
  <si>
    <t>96213</t>
  </si>
  <si>
    <t>163.3580149596</t>
  </si>
  <si>
    <t>156182902.48834652</t>
  </si>
  <si>
    <t>77220260.46490982</t>
  </si>
  <si>
    <t>6835743134.818244</t>
  </si>
  <si>
    <t>120.11</t>
  </si>
  <si>
    <t>242235008.0</t>
  </si>
  <si>
    <t>85653</t>
  </si>
  <si>
    <t>103.23478521999999</t>
  </si>
  <si>
    <t>191816106.51613238</t>
  </si>
  <si>
    <t>103597562.00044645</t>
  </si>
  <si>
    <t>6914399097.514324</t>
  </si>
  <si>
    <t>121.52</t>
  </si>
  <si>
    <t>285831008.0</t>
  </si>
  <si>
    <t>96206</t>
  </si>
  <si>
    <t>117.85630324159999</t>
  </si>
  <si>
    <t>202546742.51900366</t>
  </si>
  <si>
    <t>79091394.45109625</t>
  </si>
  <si>
    <t>6901946525.560405</t>
  </si>
  <si>
    <t>121.34</t>
  </si>
  <si>
    <t>365670016.0</t>
  </si>
  <si>
    <t>95341</t>
  </si>
  <si>
    <t>122.460993523</t>
  </si>
  <si>
    <t>217763097.55266792</t>
  </si>
  <si>
    <t>78669507.84323098</t>
  </si>
  <si>
    <t>6931717423.959728</t>
  </si>
  <si>
    <t>121.89</t>
  </si>
  <si>
    <t>324158016.0</t>
  </si>
  <si>
    <t>96040</t>
  </si>
  <si>
    <t>126.5623545195</t>
  </si>
  <si>
    <t>209630217.11994264</t>
  </si>
  <si>
    <t>93285164.6374507</t>
  </si>
  <si>
    <t>6816538642.563682</t>
  </si>
  <si>
    <t>119.9</t>
  </si>
  <si>
    <t>300892000.0</t>
  </si>
  <si>
    <t>98230</t>
  </si>
  <si>
    <t>120.05084978700002</t>
  </si>
  <si>
    <t>197991349.10375816</t>
  </si>
  <si>
    <t>93880106.41622274</t>
  </si>
  <si>
    <t>7116525732.085737</t>
  </si>
  <si>
    <t>125.21</t>
  </si>
  <si>
    <t>299780992.0</t>
  </si>
  <si>
    <t>104873</t>
  </si>
  <si>
    <t>127.0850535567</t>
  </si>
  <si>
    <t>191957976.78801858</t>
  </si>
  <si>
    <t>96969419.37120324</t>
  </si>
  <si>
    <t>7005420786.449882</t>
  </si>
  <si>
    <t>123.29</t>
  </si>
  <si>
    <t>322787008.0</t>
  </si>
  <si>
    <t>92853</t>
  </si>
  <si>
    <t>123.24380693570001</t>
  </si>
  <si>
    <t>180038500.53178945</t>
  </si>
  <si>
    <t>78170414.68464689</t>
  </si>
  <si>
    <t>6807010979.163652</t>
  </si>
  <si>
    <t>119.83</t>
  </si>
  <si>
    <t>310800000.0</t>
  </si>
  <si>
    <t>92844</t>
  </si>
  <si>
    <t>119.71017</t>
  </si>
  <si>
    <t>92174967.98330936</t>
  </si>
  <si>
    <t>55469460.559133135</t>
  </si>
  <si>
    <t>6703030532.307288</t>
  </si>
  <si>
    <t>118.03</t>
  </si>
  <si>
    <t>290886016.0</t>
  </si>
  <si>
    <t>99482</t>
  </si>
  <si>
    <t>117.889756754</t>
  </si>
  <si>
    <t>99823078.7843234</t>
  </si>
  <si>
    <t>60427926.65104899</t>
  </si>
  <si>
    <t>6661569994.490048</t>
  </si>
  <si>
    <t>117.32</t>
  </si>
  <si>
    <t>297183008.0</t>
  </si>
  <si>
    <t>101433</t>
  </si>
  <si>
    <t>128.25610581279997</t>
  </si>
  <si>
    <t>104282881.11481707</t>
  </si>
  <si>
    <t>62590003.12211152</t>
  </si>
  <si>
    <t>6785887976.819877</t>
  </si>
  <si>
    <t>119.54</t>
  </si>
  <si>
    <t>305275008.0</t>
  </si>
  <si>
    <t>105531</t>
  </si>
  <si>
    <t>125.87986247460002</t>
  </si>
  <si>
    <t>119733947.09153557</t>
  </si>
  <si>
    <t>66305337.04460126</t>
  </si>
  <si>
    <t>6347090423.881576</t>
  </si>
  <si>
    <t>111.84</t>
  </si>
  <si>
    <t>350520000.0</t>
  </si>
  <si>
    <t>110349</t>
  </si>
  <si>
    <t>127.71125913600001</t>
  </si>
  <si>
    <t>142022896.99406132</t>
  </si>
  <si>
    <t>83562354.79119799</t>
  </si>
  <si>
    <t>6691006943.761023</t>
  </si>
  <si>
    <t>117.93</t>
  </si>
  <si>
    <t>295723008.0</t>
  </si>
  <si>
    <t>104855</t>
  </si>
  <si>
    <t>129.79918278</t>
  </si>
  <si>
    <t>91076519.70522162</t>
  </si>
  <si>
    <t>51715601.68021223</t>
  </si>
  <si>
    <t>6721898825.146199</t>
  </si>
  <si>
    <t>118.5</t>
  </si>
  <si>
    <t>258727008.0</t>
  </si>
  <si>
    <t>99668</t>
  </si>
  <si>
    <t>119.90759750999999</t>
  </si>
  <si>
    <t>93540266.65970278</t>
  </si>
  <si>
    <t>50975025.242631875</t>
  </si>
  <si>
    <t>6768127816.171373</t>
  </si>
  <si>
    <t>119.35</t>
  </si>
  <si>
    <t>275851008.0</t>
  </si>
  <si>
    <t>115400</t>
  </si>
  <si>
    <t>110.1829926505</t>
  </si>
  <si>
    <t>121194140.13648799</t>
  </si>
  <si>
    <t>66294857.02763052</t>
  </si>
  <si>
    <t>6948817713.085064</t>
  </si>
  <si>
    <t>122.56</t>
  </si>
  <si>
    <t>297743008.0</t>
  </si>
  <si>
    <t>108952</t>
  </si>
  <si>
    <t>123.69956288</t>
  </si>
  <si>
    <t>135573749.51697364</t>
  </si>
  <si>
    <t>66395302.95928515</t>
  </si>
  <si>
    <t>6756155231.830683</t>
  </si>
  <si>
    <t>119.19</t>
  </si>
  <si>
    <t>345857984.0</t>
  </si>
  <si>
    <t>114258</t>
  </si>
  <si>
    <t>143.3376651552</t>
  </si>
  <si>
    <t>178742435.4186466</t>
  </si>
  <si>
    <t>92633966.5354441</t>
  </si>
  <si>
    <t>7299578707.37256</t>
  </si>
  <si>
    <t>128.81</t>
  </si>
  <si>
    <t>373329984.0</t>
  </si>
  <si>
    <t>131582</t>
  </si>
  <si>
    <t>160.50576790050002</t>
  </si>
  <si>
    <t>167548269.19568974</t>
  </si>
  <si>
    <t>92955281.49708095</t>
  </si>
  <si>
    <t>7605833978.9300585</t>
  </si>
  <si>
    <t>134.26</t>
  </si>
  <si>
    <t>294447008.0</t>
  </si>
  <si>
    <t>119032</t>
  </si>
  <si>
    <t>134.175315505</t>
  </si>
  <si>
    <t>181052504.0475116</t>
  </si>
  <si>
    <t>82301013.5285685</t>
  </si>
  <si>
    <t>7908691757.8654375</t>
  </si>
  <si>
    <t>139.64</t>
  </si>
  <si>
    <t>308376992.0</t>
  </si>
  <si>
    <t>123779</t>
  </si>
  <si>
    <t>137.9386108796</t>
  </si>
  <si>
    <t>85149375.09402941</t>
  </si>
  <si>
    <t>47926447.981030986</t>
  </si>
  <si>
    <t>7659190579.025842</t>
  </si>
  <si>
    <t>135.27</t>
  </si>
  <si>
    <t>324983008.0</t>
  </si>
  <si>
    <t>98276</t>
  </si>
  <si>
    <t>118.10566139310002</t>
  </si>
  <si>
    <t>107594019.97001489</t>
  </si>
  <si>
    <t>54255198.08663789</t>
  </si>
  <si>
    <t>7696275844.096956</t>
  </si>
  <si>
    <t>135.96</t>
  </si>
  <si>
    <t>310963008.0</t>
  </si>
  <si>
    <t>109625</t>
  </si>
  <si>
    <t>108.32939304</t>
  </si>
  <si>
    <t>153577350.28248432</t>
  </si>
  <si>
    <t>84158886.05677776</t>
  </si>
  <si>
    <t>7509796858.227252</t>
  </si>
  <si>
    <t>132.7</t>
  </si>
  <si>
    <t>371688000.0</t>
  </si>
  <si>
    <t>116818</t>
  </si>
  <si>
    <t>105.21834487599999</t>
  </si>
  <si>
    <t>161829239.24593264</t>
  </si>
  <si>
    <t>85277928.12285589</t>
  </si>
  <si>
    <t>7896320999.135045</t>
  </si>
  <si>
    <t>139.56</t>
  </si>
  <si>
    <t>320248992.0</t>
  </si>
  <si>
    <t>112837</t>
  </si>
  <si>
    <t>117.9918616896</t>
  </si>
  <si>
    <t>427504873.8462773</t>
  </si>
  <si>
    <t>278900415.2667206</t>
  </si>
  <si>
    <t>7899071877.135061</t>
  </si>
  <si>
    <t>139.65</t>
  </si>
  <si>
    <t>351689984.0</t>
  </si>
  <si>
    <t>113869</t>
  </si>
  <si>
    <t>124.50039373800001</t>
  </si>
  <si>
    <t>462146712.9805828</t>
  </si>
  <si>
    <t>263510472.2338086</t>
  </si>
  <si>
    <t>8340380691.044682</t>
  </si>
  <si>
    <t>147.49</t>
  </si>
  <si>
    <t>415984992.0</t>
  </si>
  <si>
    <t>114680</t>
  </si>
  <si>
    <t>143.30113651000002</t>
  </si>
  <si>
    <t>292905685.7555843</t>
  </si>
  <si>
    <t>160779122.391028</t>
  </si>
  <si>
    <t>8176242627.237425</t>
  </si>
  <si>
    <t>144.62</t>
  </si>
  <si>
    <t>584222016.0</t>
  </si>
  <si>
    <t>117954</t>
  </si>
  <si>
    <t>171.09756035540002</t>
  </si>
  <si>
    <t>119840155.11418813</t>
  </si>
  <si>
    <t>72547685.03850317</t>
  </si>
  <si>
    <t>8014462384.430459</t>
  </si>
  <si>
    <t>141.8</t>
  </si>
  <si>
    <t>383224000.0</t>
  </si>
  <si>
    <t>99220</t>
  </si>
  <si>
    <t>141.7763194</t>
  </si>
  <si>
    <t>139697558.16138697</t>
  </si>
  <si>
    <t>79558377.72369665</t>
  </si>
  <si>
    <t>7755918735.668452</t>
  </si>
  <si>
    <t>137.26</t>
  </si>
  <si>
    <t>410184992.0</t>
  </si>
  <si>
    <t>109542</t>
  </si>
  <si>
    <t>137.22939102</t>
  </si>
  <si>
    <t>305471123.4468431</t>
  </si>
  <si>
    <t>164913454.72861016</t>
  </si>
  <si>
    <t>8442258889.721411</t>
  </si>
  <si>
    <t>149.45</t>
  </si>
  <si>
    <t>530416000.0</t>
  </si>
  <si>
    <t>119764</t>
  </si>
  <si>
    <t>174.806960314</t>
  </si>
  <si>
    <t>232125072.84847564</t>
  </si>
  <si>
    <t>135920284.88571414</t>
  </si>
  <si>
    <t>8874969375.78935</t>
  </si>
  <si>
    <t>157.15</t>
  </si>
  <si>
    <t>426694016.0</t>
  </si>
  <si>
    <t>117344</t>
  </si>
  <si>
    <t>156.75196576550002</t>
  </si>
  <si>
    <t>236311765.73335508</t>
  </si>
  <si>
    <t>140242438.25755632</t>
  </si>
  <si>
    <t>9012422167.37956</t>
  </si>
  <si>
    <t>159.62</t>
  </si>
  <si>
    <t>448136000.0</t>
  </si>
  <si>
    <t>114689</t>
  </si>
  <si>
    <t>162.76236072620003</t>
  </si>
  <si>
    <t>225695905.9235065</t>
  </si>
  <si>
    <t>129289412.2240365</t>
  </si>
  <si>
    <t>9303685417.536087</t>
  </si>
  <si>
    <t>164.83</t>
  </si>
  <si>
    <t>466308992.0</t>
  </si>
  <si>
    <t>119944</t>
  </si>
  <si>
    <t>164.88169398460002</t>
  </si>
  <si>
    <t>273025143.0927581</t>
  </si>
  <si>
    <t>157860720.79568982</t>
  </si>
  <si>
    <t>9692454655.328966</t>
  </si>
  <si>
    <t>171.76</t>
  </si>
  <si>
    <t>573281024.0</t>
  </si>
  <si>
    <t>114832</t>
  </si>
  <si>
    <t>670199238.4797517</t>
  </si>
  <si>
    <t>390273995.898494</t>
  </si>
  <si>
    <t>10043138517.173225</t>
  </si>
  <si>
    <t>178.02</t>
  </si>
  <si>
    <t>626270016.0</t>
  </si>
  <si>
    <t>109862</t>
  </si>
  <si>
    <t>189.1808019018</t>
  </si>
  <si>
    <t>355465729.4529639</t>
  </si>
  <si>
    <t>145041173.52478582</t>
  </si>
  <si>
    <t>9495032123.703588</t>
  </si>
  <si>
    <t>168.35</t>
  </si>
  <si>
    <t>741246016.0</t>
  </si>
  <si>
    <t>120584</t>
  </si>
  <si>
    <t>188.9588834315</t>
  </si>
  <si>
    <t>291306718.67615545</t>
  </si>
  <si>
    <t>140473399.76878077</t>
  </si>
  <si>
    <t>9047811230.299366</t>
  </si>
  <si>
    <t>160.47</t>
  </si>
  <si>
    <t>633054976.0</t>
  </si>
  <si>
    <t>129393</t>
  </si>
  <si>
    <t>216.6257640132</t>
  </si>
  <si>
    <t>321504956.7549341</t>
  </si>
  <si>
    <t>151903121.1968395</t>
  </si>
  <si>
    <t>8560126261.115199</t>
  </si>
  <si>
    <t>151.86</t>
  </si>
  <si>
    <t>617984000.0</t>
  </si>
  <si>
    <t>128175</t>
  </si>
  <si>
    <t>225.67142695620004</t>
  </si>
  <si>
    <t>258963066.7193028</t>
  </si>
  <si>
    <t>141017631.55181476</t>
  </si>
  <si>
    <t>8365658119.664533</t>
  </si>
  <si>
    <t>148.45</t>
  </si>
  <si>
    <t>354656992.0</t>
  </si>
  <si>
    <t>123327</t>
  </si>
  <si>
    <t>183.30220029999998</t>
  </si>
  <si>
    <t>436451104.790294</t>
  </si>
  <si>
    <t>314444956.16212547</t>
  </si>
  <si>
    <t>8357494706.679506</t>
  </si>
  <si>
    <t>148.34</t>
  </si>
  <si>
    <t>342151999.99999994</t>
  </si>
  <si>
    <t>116127</t>
  </si>
  <si>
    <t>165.99246</t>
  </si>
  <si>
    <t>21883</t>
  </si>
  <si>
    <t>62997</t>
  </si>
  <si>
    <t>17156</t>
  </si>
  <si>
    <t>54187</t>
  </si>
  <si>
    <t>14149</t>
  </si>
  <si>
    <t>56960</t>
  </si>
  <si>
    <t>18866</t>
  </si>
  <si>
    <t>74687</t>
  </si>
  <si>
    <t>17894</t>
  </si>
  <si>
    <t>49883</t>
  </si>
  <si>
    <t>16801</t>
  </si>
  <si>
    <t>39928</t>
  </si>
  <si>
    <t>27350</t>
  </si>
  <si>
    <t>63084</t>
  </si>
  <si>
    <t>22974</t>
  </si>
  <si>
    <t>52535</t>
  </si>
  <si>
    <t>16932</t>
  </si>
  <si>
    <t>53193</t>
  </si>
  <si>
    <t>18788</t>
  </si>
  <si>
    <t>71666</t>
  </si>
  <si>
    <t>17097</t>
  </si>
  <si>
    <t>57943</t>
  </si>
  <si>
    <t>19619</t>
  </si>
  <si>
    <t>76158</t>
  </si>
  <si>
    <t>21545</t>
  </si>
  <si>
    <t>90370</t>
  </si>
  <si>
    <t>19756</t>
  </si>
  <si>
    <t>75351</t>
  </si>
  <si>
    <t>15327</t>
  </si>
  <si>
    <t>53583</t>
  </si>
  <si>
    <t>13842</t>
  </si>
  <si>
    <t>47071</t>
  </si>
  <si>
    <t>13200</t>
  </si>
  <si>
    <t>54825</t>
  </si>
  <si>
    <t>14225</t>
  </si>
  <si>
    <t>55461</t>
  </si>
  <si>
    <t>10391</t>
  </si>
  <si>
    <t>28115</t>
  </si>
  <si>
    <t>12854</t>
  </si>
  <si>
    <t>39689</t>
  </si>
  <si>
    <t>13928</t>
  </si>
  <si>
    <t>43363</t>
  </si>
  <si>
    <t>13874</t>
  </si>
  <si>
    <t>39397</t>
  </si>
  <si>
    <t>14343</t>
  </si>
  <si>
    <t>54446</t>
  </si>
  <si>
    <t>15049</t>
  </si>
  <si>
    <t>61777</t>
  </si>
  <si>
    <t>11331</t>
  </si>
  <si>
    <t>28168</t>
  </si>
  <si>
    <t>11572</t>
  </si>
  <si>
    <t>32489</t>
  </si>
  <si>
    <t>13225</t>
  </si>
  <si>
    <t>42271</t>
  </si>
  <si>
    <t>15037</t>
  </si>
  <si>
    <t>55507</t>
  </si>
  <si>
    <t>13538</t>
  </si>
  <si>
    <t>52416</t>
  </si>
  <si>
    <t>14074</t>
  </si>
  <si>
    <t>45805</t>
  </si>
  <si>
    <t>13830</t>
  </si>
  <si>
    <t>46961</t>
  </si>
  <si>
    <t>13808</t>
  </si>
  <si>
    <t>52152</t>
  </si>
  <si>
    <t>12417</t>
  </si>
  <si>
    <t>35861</t>
  </si>
  <si>
    <t>15000</t>
  </si>
  <si>
    <t>52670</t>
  </si>
  <si>
    <t>14320</t>
  </si>
  <si>
    <t>56208</t>
  </si>
  <si>
    <t>14121</t>
  </si>
  <si>
    <t>52425</t>
  </si>
  <si>
    <t>14776</t>
  </si>
  <si>
    <t>61710</t>
  </si>
  <si>
    <t>12226</t>
  </si>
  <si>
    <t>48969</t>
  </si>
  <si>
    <t>12766</t>
  </si>
  <si>
    <t>50141</t>
  </si>
  <si>
    <t>12813</t>
  </si>
  <si>
    <t>50220</t>
  </si>
  <si>
    <t>14630</t>
  </si>
  <si>
    <t>50286</t>
  </si>
  <si>
    <t>16551</t>
  </si>
  <si>
    <t>52297</t>
  </si>
  <si>
    <t>15962</t>
  </si>
  <si>
    <t>59607</t>
  </si>
  <si>
    <t>19460</t>
  </si>
  <si>
    <t>92472</t>
  </si>
  <si>
    <t>14637</t>
  </si>
  <si>
    <t>60228</t>
  </si>
  <si>
    <t>14618</t>
  </si>
  <si>
    <t>63651</t>
  </si>
  <si>
    <t>12607</t>
  </si>
  <si>
    <t>51642</t>
  </si>
  <si>
    <t>14757</t>
  </si>
  <si>
    <t>65314</t>
  </si>
  <si>
    <t>17542</t>
  </si>
  <si>
    <t>72383</t>
  </si>
  <si>
    <t>19308</t>
  </si>
  <si>
    <t>93775</t>
  </si>
  <si>
    <t>20078</t>
  </si>
  <si>
    <t>91245</t>
  </si>
  <si>
    <t>17597</t>
  </si>
  <si>
    <t>94299</t>
  </si>
  <si>
    <t>14814</t>
  </si>
  <si>
    <t>62460</t>
  </si>
  <si>
    <t>14541</t>
  </si>
  <si>
    <t>63967</t>
  </si>
  <si>
    <t>13940</t>
  </si>
  <si>
    <t>47654</t>
  </si>
  <si>
    <t>15388</t>
  </si>
  <si>
    <t>61504</t>
  </si>
  <si>
    <t>12145</t>
  </si>
  <si>
    <t>43481</t>
  </si>
  <si>
    <t>11698</t>
  </si>
  <si>
    <t>45361</t>
  </si>
  <si>
    <t>72751</t>
  </si>
  <si>
    <t>12454</t>
  </si>
  <si>
    <t>54965</t>
  </si>
  <si>
    <t>11878</t>
  </si>
  <si>
    <t>61202</t>
  </si>
  <si>
    <t>11042</t>
  </si>
  <si>
    <t>42923</t>
  </si>
  <si>
    <t>12254</t>
  </si>
  <si>
    <t>50383</t>
  </si>
  <si>
    <t>13146</t>
  </si>
  <si>
    <t>69913</t>
  </si>
  <si>
    <t>13706</t>
  </si>
  <si>
    <t>65883</t>
  </si>
  <si>
    <t>11686</t>
  </si>
  <si>
    <t>46931</t>
  </si>
  <si>
    <t>12988</t>
  </si>
  <si>
    <t>62897</t>
  </si>
  <si>
    <t>10155</t>
  </si>
  <si>
    <t>35228</t>
  </si>
  <si>
    <t>12829</t>
  </si>
  <si>
    <t>41526</t>
  </si>
  <si>
    <t>12381</t>
  </si>
  <si>
    <t>43337</t>
  </si>
  <si>
    <t>11554</t>
  </si>
  <si>
    <t>45636</t>
  </si>
  <si>
    <t>12298</t>
  </si>
  <si>
    <t>43248</t>
  </si>
  <si>
    <t>12499</t>
  </si>
  <si>
    <t>47187</t>
  </si>
  <si>
    <t>11758</t>
  </si>
  <si>
    <t>42463</t>
  </si>
  <si>
    <t>11270</t>
  </si>
  <si>
    <t>35563</t>
  </si>
  <si>
    <t>14180</t>
  </si>
  <si>
    <t>44809</t>
  </si>
  <si>
    <t>13233</t>
  </si>
  <si>
    <t>42905</t>
  </si>
  <si>
    <t>12932</t>
  </si>
  <si>
    <t>47530</t>
  </si>
  <si>
    <t>13592</t>
  </si>
  <si>
    <t>66315</t>
  </si>
  <si>
    <t>12423</t>
  </si>
  <si>
    <t>54808</t>
  </si>
  <si>
    <t>13033</t>
  </si>
  <si>
    <t>68406</t>
  </si>
  <si>
    <t>12926</t>
  </si>
  <si>
    <t>60123</t>
  </si>
  <si>
    <t>10721</t>
  </si>
  <si>
    <t>34380</t>
  </si>
  <si>
    <t>14204</t>
  </si>
  <si>
    <t>63285</t>
  </si>
  <si>
    <t>11570</t>
  </si>
  <si>
    <t>38105</t>
  </si>
  <si>
    <t>9859</t>
  </si>
  <si>
    <t>41416</t>
  </si>
  <si>
    <t>11206</t>
  </si>
  <si>
    <t>41554</t>
  </si>
  <si>
    <t>11362</t>
  </si>
  <si>
    <t>44200</t>
  </si>
  <si>
    <t>11266</t>
  </si>
  <si>
    <t>49679</t>
  </si>
  <si>
    <t>13304</t>
  </si>
  <si>
    <t>56911</t>
  </si>
  <si>
    <t>14966</t>
  </si>
  <si>
    <t>65198</t>
  </si>
  <si>
    <t>13802</t>
  </si>
  <si>
    <t>66606</t>
  </si>
  <si>
    <t>13092</t>
  </si>
  <si>
    <t>57316</t>
  </si>
  <si>
    <t>13774</t>
  </si>
  <si>
    <t>63553</t>
  </si>
  <si>
    <t>12891</t>
  </si>
  <si>
    <t>72852</t>
  </si>
  <si>
    <t>11652</t>
  </si>
  <si>
    <t>49560</t>
  </si>
  <si>
    <t>12021</t>
  </si>
  <si>
    <t>42813</t>
  </si>
  <si>
    <t>12240</t>
  </si>
  <si>
    <t>47682</t>
  </si>
  <si>
    <t>12752</t>
  </si>
  <si>
    <t>46924</t>
  </si>
  <si>
    <t>12693</t>
  </si>
  <si>
    <t>47259</t>
  </si>
  <si>
    <t>13248</t>
  </si>
  <si>
    <t>61276</t>
  </si>
  <si>
    <t>13165</t>
  </si>
  <si>
    <t>65755</t>
  </si>
  <si>
    <t>13405</t>
  </si>
  <si>
    <t>64704</t>
  </si>
  <si>
    <t>13614</t>
  </si>
  <si>
    <t>42526</t>
  </si>
  <si>
    <t>13435</t>
  </si>
  <si>
    <t>47245</t>
  </si>
  <si>
    <t>13672</t>
  </si>
  <si>
    <t>65318</t>
  </si>
  <si>
    <t>14196</t>
  </si>
  <si>
    <t>80518</t>
  </si>
  <si>
    <t>12816</t>
  </si>
  <si>
    <t>79727</t>
  </si>
  <si>
    <t>11805</t>
  </si>
  <si>
    <t>54340</t>
  </si>
  <si>
    <t>10748</t>
  </si>
  <si>
    <t>49507</t>
  </si>
  <si>
    <t>13138</t>
  </si>
  <si>
    <t>59346</t>
  </si>
  <si>
    <t>12928</t>
  </si>
  <si>
    <t>65211</t>
  </si>
  <si>
    <t>11549</t>
  </si>
  <si>
    <t>57383</t>
  </si>
  <si>
    <t>12076</t>
  </si>
  <si>
    <t>47588</t>
  </si>
  <si>
    <t>12083</t>
  </si>
  <si>
    <t>49405</t>
  </si>
  <si>
    <t>11402</t>
  </si>
  <si>
    <t>49681</t>
  </si>
  <si>
    <t>11346</t>
  </si>
  <si>
    <t>60572</t>
  </si>
  <si>
    <t>13595</t>
  </si>
  <si>
    <t>71908</t>
  </si>
  <si>
    <t>12754</t>
  </si>
  <si>
    <t>72865</t>
  </si>
  <si>
    <t>12845</t>
  </si>
  <si>
    <t>71562</t>
  </si>
  <si>
    <t>12067</t>
  </si>
  <si>
    <t>63874</t>
  </si>
  <si>
    <t>12872</t>
  </si>
  <si>
    <t>76847</t>
  </si>
  <si>
    <t>11897</t>
  </si>
  <si>
    <t>53803</t>
  </si>
  <si>
    <t>12350</t>
  </si>
  <si>
    <t>76173</t>
  </si>
  <si>
    <t>11420</t>
  </si>
  <si>
    <t>52745</t>
  </si>
  <si>
    <t>11077</t>
  </si>
  <si>
    <t>45938</t>
  </si>
  <si>
    <t>9941</t>
  </si>
  <si>
    <t>35344</t>
  </si>
  <si>
    <t>9278</t>
  </si>
  <si>
    <t>33905</t>
  </si>
  <si>
    <t>9787</t>
  </si>
  <si>
    <t>37571</t>
  </si>
  <si>
    <t>9293</t>
  </si>
  <si>
    <t>33781</t>
  </si>
  <si>
    <t>8524</t>
  </si>
  <si>
    <t>24234</t>
  </si>
  <si>
    <t>10216</t>
  </si>
  <si>
    <t>23368</t>
  </si>
  <si>
    <t>10209</t>
  </si>
  <si>
    <t>34905</t>
  </si>
  <si>
    <t>8953</t>
  </si>
  <si>
    <t>21809</t>
  </si>
  <si>
    <t>9008</t>
  </si>
  <si>
    <t>34495</t>
  </si>
  <si>
    <t>8549</t>
  </si>
  <si>
    <t>34129</t>
  </si>
  <si>
    <t>17720</t>
  </si>
  <si>
    <t>38173</t>
  </si>
  <si>
    <t>15387</t>
  </si>
  <si>
    <t>33691</t>
  </si>
  <si>
    <t>9065</t>
  </si>
  <si>
    <t>32753</t>
  </si>
  <si>
    <t>9240</t>
  </si>
  <si>
    <t>41452</t>
  </si>
  <si>
    <t>8618</t>
  </si>
  <si>
    <t>45648</t>
  </si>
  <si>
    <t>7750</t>
  </si>
  <si>
    <t>35797</t>
  </si>
  <si>
    <t>10095</t>
  </si>
  <si>
    <t>28627</t>
  </si>
  <si>
    <t>13588</t>
  </si>
  <si>
    <t>34013</t>
  </si>
  <si>
    <t>8324</t>
  </si>
  <si>
    <t>30019</t>
  </si>
  <si>
    <t>8722</t>
  </si>
  <si>
    <t>30805</t>
  </si>
  <si>
    <t>9313</t>
  </si>
  <si>
    <t>35064</t>
  </si>
  <si>
    <t>7843</t>
  </si>
  <si>
    <t>34320</t>
  </si>
  <si>
    <t>7407</t>
  </si>
  <si>
    <t>24769</t>
  </si>
  <si>
    <t>7377</t>
  </si>
  <si>
    <t>26194</t>
  </si>
  <si>
    <t>8865</t>
  </si>
  <si>
    <t>34467</t>
  </si>
  <si>
    <t>11317</t>
  </si>
  <si>
    <t>25317</t>
  </si>
  <si>
    <t>10264</t>
  </si>
  <si>
    <t>25963</t>
  </si>
  <si>
    <t>10046</t>
  </si>
  <si>
    <t>33948</t>
  </si>
  <si>
    <t>9744</t>
  </si>
  <si>
    <t>31526</t>
  </si>
  <si>
    <t>9252</t>
  </si>
  <si>
    <t>35046</t>
  </si>
  <si>
    <t>8678</t>
  </si>
  <si>
    <t>34067</t>
  </si>
  <si>
    <t>8810</t>
  </si>
  <si>
    <t>38384</t>
  </si>
  <si>
    <t>8584</t>
  </si>
  <si>
    <t>36530</t>
  </si>
  <si>
    <t>10173</t>
  </si>
  <si>
    <t>45706</t>
  </si>
  <si>
    <t>8695</t>
  </si>
  <si>
    <t>39735</t>
  </si>
  <si>
    <t>8118</t>
  </si>
  <si>
    <t>28476</t>
  </si>
  <si>
    <t>9310</t>
  </si>
  <si>
    <t>36130</t>
  </si>
  <si>
    <t>8464</t>
  </si>
  <si>
    <t>32371</t>
  </si>
  <si>
    <t>16275</t>
  </si>
  <si>
    <t>33116</t>
  </si>
  <si>
    <t>7940</t>
  </si>
  <si>
    <t>29915</t>
  </si>
  <si>
    <t>9492</t>
  </si>
  <si>
    <t>31493</t>
  </si>
  <si>
    <t>10675</t>
  </si>
  <si>
    <t>35491</t>
  </si>
  <si>
    <t>9638</t>
  </si>
  <si>
    <t>42258</t>
  </si>
  <si>
    <t>9935</t>
  </si>
  <si>
    <t>44821</t>
  </si>
  <si>
    <t>8717</t>
  </si>
  <si>
    <t>32873</t>
  </si>
  <si>
    <t>9452</t>
  </si>
  <si>
    <t>43463</t>
  </si>
  <si>
    <t>7703</t>
  </si>
  <si>
    <t>27496</t>
  </si>
  <si>
    <t>9777</t>
  </si>
  <si>
    <t>31740</t>
  </si>
  <si>
    <t>9064</t>
  </si>
  <si>
    <t>26794</t>
  </si>
  <si>
    <t>8711</t>
  </si>
  <si>
    <t>28541</t>
  </si>
  <si>
    <t>8330</t>
  </si>
  <si>
    <t>27752</t>
  </si>
  <si>
    <t>8284</t>
  </si>
  <si>
    <t>32986</t>
  </si>
  <si>
    <t>7772</t>
  </si>
  <si>
    <t>22979</t>
  </si>
  <si>
    <t>7785</t>
  </si>
  <si>
    <t>24610</t>
  </si>
  <si>
    <t>9909</t>
  </si>
  <si>
    <t>34219</t>
  </si>
  <si>
    <t>9755</t>
  </si>
  <si>
    <t>31721</t>
  </si>
  <si>
    <t>8660</t>
  </si>
  <si>
    <t>33350</t>
  </si>
  <si>
    <t>10208</t>
  </si>
  <si>
    <t>40130</t>
  </si>
  <si>
    <t>9377</t>
  </si>
  <si>
    <t>29347</t>
  </si>
  <si>
    <t>9260</t>
  </si>
  <si>
    <t>38022</t>
  </si>
  <si>
    <t>8554</t>
  </si>
  <si>
    <t>31632</t>
  </si>
  <si>
    <t>9484</t>
  </si>
  <si>
    <t>29422</t>
  </si>
  <si>
    <t>10237</t>
  </si>
  <si>
    <t>27806</t>
  </si>
  <si>
    <t>9238</t>
  </si>
  <si>
    <t>24075</t>
  </si>
  <si>
    <t>9489</t>
  </si>
  <si>
    <t>27255</t>
  </si>
  <si>
    <t>9458</t>
  </si>
  <si>
    <t>32768</t>
  </si>
  <si>
    <t>51990</t>
  </si>
  <si>
    <t>31394</t>
  </si>
  <si>
    <t>3021835</t>
  </si>
  <si>
    <t>43237</t>
  </si>
  <si>
    <t>227062</t>
  </si>
  <si>
    <t>35362</t>
  </si>
  <si>
    <t>11470</t>
  </si>
  <si>
    <t>39656</t>
  </si>
  <si>
    <t>11280</t>
  </si>
  <si>
    <t>49031</t>
  </si>
  <si>
    <t>10528</t>
  </si>
  <si>
    <t>41298</t>
  </si>
  <si>
    <t>10582</t>
  </si>
  <si>
    <t>38793</t>
  </si>
  <si>
    <t>9761</t>
  </si>
  <si>
    <t>38127</t>
  </si>
  <si>
    <t>8041</t>
  </si>
  <si>
    <t>29210</t>
  </si>
  <si>
    <t>9245</t>
  </si>
  <si>
    <t>30801</t>
  </si>
  <si>
    <t>10230</t>
  </si>
  <si>
    <t>46635</t>
  </si>
  <si>
    <t>9486</t>
  </si>
  <si>
    <t>30491</t>
  </si>
  <si>
    <t>13344</t>
  </si>
  <si>
    <t>33385</t>
  </si>
  <si>
    <t>10031</t>
  </si>
  <si>
    <t>31747</t>
  </si>
  <si>
    <t>8761</t>
  </si>
  <si>
    <t>33504</t>
  </si>
  <si>
    <t>8305</t>
  </si>
  <si>
    <t>30999</t>
  </si>
  <si>
    <t>8789</t>
  </si>
  <si>
    <t>23784</t>
  </si>
  <si>
    <t>8710</t>
  </si>
  <si>
    <t>25652</t>
  </si>
  <si>
    <t>9348</t>
  </si>
  <si>
    <t>29186</t>
  </si>
  <si>
    <t>9942</t>
  </si>
  <si>
    <t>37125</t>
  </si>
  <si>
    <t>10047</t>
  </si>
  <si>
    <t>25001</t>
  </si>
  <si>
    <t>11562</t>
  </si>
  <si>
    <t>35352</t>
  </si>
  <si>
    <t>8934</t>
  </si>
  <si>
    <t>31801</t>
  </si>
  <si>
    <t>9467</t>
  </si>
  <si>
    <t>29425</t>
  </si>
  <si>
    <t>14780</t>
  </si>
  <si>
    <t>33249</t>
  </si>
  <si>
    <t>38499</t>
  </si>
  <si>
    <t>30338</t>
  </si>
  <si>
    <t>13046</t>
  </si>
  <si>
    <t>37191</t>
  </si>
  <si>
    <t>7472</t>
  </si>
  <si>
    <t>29265</t>
  </si>
  <si>
    <t>8193</t>
  </si>
  <si>
    <t>30647</t>
  </si>
  <si>
    <t>6842</t>
  </si>
  <si>
    <t>23764</t>
  </si>
  <si>
    <t>7444</t>
  </si>
  <si>
    <t>22889</t>
  </si>
  <si>
    <t>8747</t>
  </si>
  <si>
    <t>29072</t>
  </si>
  <si>
    <t>8815</t>
  </si>
  <si>
    <t>30974</t>
  </si>
  <si>
    <t>8052</t>
  </si>
  <si>
    <t>29062</t>
  </si>
  <si>
    <t>8718</t>
  </si>
  <si>
    <t>42005</t>
  </si>
  <si>
    <t>8614</t>
  </si>
  <si>
    <t>32291</t>
  </si>
  <si>
    <t>7823</t>
  </si>
  <si>
    <t>29779</t>
  </si>
  <si>
    <t>204204</t>
  </si>
  <si>
    <t>34014</t>
  </si>
  <si>
    <t>81313</t>
  </si>
  <si>
    <t>31548</t>
  </si>
  <si>
    <t>10730</t>
  </si>
  <si>
    <t>36942</t>
  </si>
  <si>
    <t>33177</t>
  </si>
  <si>
    <t>7416</t>
  </si>
  <si>
    <t>31996</t>
  </si>
  <si>
    <t>6140</t>
  </si>
  <si>
    <t>28300</t>
  </si>
  <si>
    <t>5474</t>
  </si>
  <si>
    <t>20447</t>
  </si>
  <si>
    <t>7905</t>
  </si>
  <si>
    <t>23718</t>
  </si>
  <si>
    <t>7004</t>
  </si>
  <si>
    <t>27713</t>
  </si>
  <si>
    <t>7396</t>
  </si>
  <si>
    <t>32700</t>
  </si>
  <si>
    <t>10930</t>
  </si>
  <si>
    <t>27668</t>
  </si>
  <si>
    <t>6277</t>
  </si>
  <si>
    <t>24179</t>
  </si>
  <si>
    <t>5487</t>
  </si>
  <si>
    <t>23103</t>
  </si>
  <si>
    <t>4936</t>
  </si>
  <si>
    <t>20212</t>
  </si>
  <si>
    <t>5597</t>
  </si>
  <si>
    <t>20893</t>
  </si>
  <si>
    <t>6838</t>
  </si>
  <si>
    <t>22459</t>
  </si>
  <si>
    <t>17372</t>
  </si>
  <si>
    <t>29718</t>
  </si>
  <si>
    <t>10356</t>
  </si>
  <si>
    <t>24422</t>
  </si>
  <si>
    <t>5010</t>
  </si>
  <si>
    <t>26040</t>
  </si>
  <si>
    <t>6220</t>
  </si>
  <si>
    <t>21301</t>
  </si>
  <si>
    <t>7566</t>
  </si>
  <si>
    <t>27608</t>
  </si>
  <si>
    <t>7366</t>
  </si>
  <si>
    <t>38762</t>
  </si>
  <si>
    <t>7167</t>
  </si>
  <si>
    <t>30699</t>
  </si>
  <si>
    <t>6210</t>
  </si>
  <si>
    <t>24641</t>
  </si>
  <si>
    <t>6423</t>
  </si>
  <si>
    <t>24005</t>
  </si>
  <si>
    <t>7321</t>
  </si>
  <si>
    <t>49309</t>
  </si>
  <si>
    <t>7189</t>
  </si>
  <si>
    <t>29969</t>
  </si>
  <si>
    <t>6034</t>
  </si>
  <si>
    <t>27431</t>
  </si>
  <si>
    <t>6392</t>
  </si>
  <si>
    <t>24735</t>
  </si>
  <si>
    <t>6989</t>
  </si>
  <si>
    <t>27523</t>
  </si>
  <si>
    <t>6402</t>
  </si>
  <si>
    <t>28324</t>
  </si>
  <si>
    <t>6713</t>
  </si>
  <si>
    <t>31615</t>
  </si>
  <si>
    <t>6221</t>
  </si>
  <si>
    <t>30443</t>
  </si>
  <si>
    <t>7936</t>
  </si>
  <si>
    <t>44665</t>
  </si>
  <si>
    <t>8077</t>
  </si>
  <si>
    <t>36783</t>
  </si>
  <si>
    <t>8134</t>
  </si>
  <si>
    <t>35678</t>
  </si>
  <si>
    <t>6462</t>
  </si>
  <si>
    <t>27040</t>
  </si>
  <si>
    <t>5610</t>
  </si>
  <si>
    <t>25521</t>
  </si>
  <si>
    <t>6314</t>
  </si>
  <si>
    <t>32113</t>
  </si>
  <si>
    <t>7144</t>
  </si>
  <si>
    <t>30588</t>
  </si>
  <si>
    <t>6232</t>
  </si>
  <si>
    <t>27039</t>
  </si>
  <si>
    <t>4818</t>
  </si>
  <si>
    <t>27085</t>
  </si>
  <si>
    <t>5603</t>
  </si>
  <si>
    <t>22902</t>
  </si>
  <si>
    <t>5880</t>
  </si>
  <si>
    <t>23787</t>
  </si>
  <si>
    <t>4688</t>
  </si>
  <si>
    <t>24850</t>
  </si>
  <si>
    <t>5254</t>
  </si>
  <si>
    <t>27909</t>
  </si>
  <si>
    <t>5050</t>
  </si>
  <si>
    <t>25993</t>
  </si>
  <si>
    <t>4609</t>
  </si>
  <si>
    <t>21531</t>
  </si>
  <si>
    <t>3991</t>
  </si>
  <si>
    <t>21439</t>
  </si>
  <si>
    <t>4834</t>
  </si>
  <si>
    <t>22731</t>
  </si>
  <si>
    <t>5204</t>
  </si>
  <si>
    <t>27370</t>
  </si>
  <si>
    <t>5905</t>
  </si>
  <si>
    <t>30577</t>
  </si>
  <si>
    <t>5986</t>
  </si>
  <si>
    <t>27208</t>
  </si>
  <si>
    <t>6608</t>
  </si>
  <si>
    <t>27849</t>
  </si>
  <si>
    <t>5363</t>
  </si>
  <si>
    <t>23767</t>
  </si>
  <si>
    <t>4550</t>
  </si>
  <si>
    <t>22042</t>
  </si>
  <si>
    <t>6646</t>
  </si>
  <si>
    <t>26438</t>
  </si>
  <si>
    <t>6655</t>
  </si>
  <si>
    <t>28961</t>
  </si>
  <si>
    <t>6052</t>
  </si>
  <si>
    <t>29022</t>
  </si>
  <si>
    <t>6476</t>
  </si>
  <si>
    <t>43410</t>
  </si>
  <si>
    <t>6616</t>
  </si>
  <si>
    <t>35424</t>
  </si>
  <si>
    <t>5808</t>
  </si>
  <si>
    <t>33917</t>
  </si>
  <si>
    <t>5045</t>
  </si>
  <si>
    <t>30015</t>
  </si>
  <si>
    <t>5635</t>
  </si>
  <si>
    <t>28092</t>
  </si>
  <si>
    <t>5669</t>
  </si>
  <si>
    <t>24677</t>
  </si>
  <si>
    <t>5857</t>
  </si>
  <si>
    <t>26728</t>
  </si>
  <si>
    <t>8694</t>
  </si>
  <si>
    <t>31993</t>
  </si>
  <si>
    <t>8987</t>
  </si>
  <si>
    <t>37729</t>
  </si>
  <si>
    <t>8640</t>
  </si>
  <si>
    <t>39540</t>
  </si>
  <si>
    <t>8301</t>
  </si>
  <si>
    <t>36007</t>
  </si>
  <si>
    <t>9170</t>
  </si>
  <si>
    <t>30460</t>
  </si>
  <si>
    <t>8779</t>
  </si>
  <si>
    <t>29936</t>
  </si>
  <si>
    <t>9226</t>
  </si>
  <si>
    <t>32382</t>
  </si>
  <si>
    <t>8968</t>
  </si>
  <si>
    <t>30724</t>
  </si>
  <si>
    <t>19704</t>
  </si>
  <si>
    <t>33639</t>
  </si>
  <si>
    <t>28830</t>
  </si>
  <si>
    <t>44079</t>
  </si>
  <si>
    <t>31987</t>
  </si>
  <si>
    <t>39336</t>
  </si>
  <si>
    <t>42392</t>
  </si>
  <si>
    <t>50455</t>
  </si>
  <si>
    <t>55868</t>
  </si>
  <si>
    <t>57646</t>
  </si>
  <si>
    <t>317430</t>
  </si>
  <si>
    <t>76221</t>
  </si>
  <si>
    <t>464031</t>
  </si>
  <si>
    <t>116426</t>
  </si>
  <si>
    <t>53062</t>
  </si>
  <si>
    <t>29914</t>
  </si>
  <si>
    <t>8460</t>
  </si>
  <si>
    <t>30489</t>
  </si>
  <si>
    <t>7281</t>
  </si>
  <si>
    <t>23772</t>
  </si>
  <si>
    <t>9803</t>
  </si>
  <si>
    <t>31410</t>
  </si>
  <si>
    <t>9754</t>
  </si>
  <si>
    <t>27619</t>
  </si>
  <si>
    <t>9641</t>
  </si>
  <si>
    <t>30294</t>
  </si>
  <si>
    <t>9038</t>
  </si>
  <si>
    <t>31242</t>
  </si>
  <si>
    <t>8882</t>
  </si>
  <si>
    <t>31342</t>
  </si>
  <si>
    <t>10585</t>
  </si>
  <si>
    <t>32825</t>
  </si>
  <si>
    <t>15115</t>
  </si>
  <si>
    <t>35999</t>
  </si>
  <si>
    <t>17197</t>
  </si>
  <si>
    <t>38398</t>
  </si>
  <si>
    <t>15786</t>
  </si>
  <si>
    <t>45144</t>
  </si>
  <si>
    <t>14289</t>
  </si>
  <si>
    <t>34855</t>
  </si>
  <si>
    <t>15650</t>
  </si>
  <si>
    <t>39483</t>
  </si>
  <si>
    <t>15895</t>
  </si>
  <si>
    <t>36944</t>
  </si>
  <si>
    <t>16284</t>
  </si>
  <si>
    <t>36778</t>
  </si>
  <si>
    <t>15932</t>
  </si>
  <si>
    <t>32884</t>
  </si>
  <si>
    <t>17471</t>
  </si>
  <si>
    <t>33065</t>
  </si>
  <si>
    <t>17342</t>
  </si>
  <si>
    <t>35697</t>
  </si>
  <si>
    <t>15337</t>
  </si>
  <si>
    <t>35119</t>
  </si>
  <si>
    <t>17191</t>
  </si>
  <si>
    <t>38436</t>
  </si>
  <si>
    <t>17272</t>
  </si>
  <si>
    <t>33754</t>
  </si>
  <si>
    <t>19376</t>
  </si>
  <si>
    <t>42417</t>
  </si>
  <si>
    <t>21506</t>
  </si>
  <si>
    <t>37997</t>
  </si>
  <si>
    <t>35120</t>
  </si>
  <si>
    <t>42155</t>
  </si>
  <si>
    <t>25368</t>
  </si>
  <si>
    <t>47862</t>
  </si>
  <si>
    <t>16587</t>
  </si>
  <si>
    <t>35774</t>
  </si>
  <si>
    <t>17212</t>
  </si>
  <si>
    <t>42687</t>
  </si>
  <si>
    <t>14616</t>
  </si>
  <si>
    <t>39798</t>
  </si>
  <si>
    <t>19270</t>
  </si>
  <si>
    <t>41004</t>
  </si>
  <si>
    <t>12580</t>
  </si>
  <si>
    <t>32381</t>
  </si>
  <si>
    <t>18063</t>
  </si>
  <si>
    <t>44666</t>
  </si>
  <si>
    <t>14038</t>
  </si>
  <si>
    <t>34830</t>
  </si>
  <si>
    <t>12576</t>
  </si>
  <si>
    <t>33898</t>
  </si>
  <si>
    <t>10694</t>
  </si>
  <si>
    <t>29694</t>
  </si>
  <si>
    <t>9094</t>
  </si>
  <si>
    <t>34288</t>
  </si>
  <si>
    <t>9364</t>
  </si>
  <si>
    <t>36802</t>
  </si>
  <si>
    <t>8721</t>
  </si>
  <si>
    <t>34582</t>
  </si>
  <si>
    <t>8866</t>
  </si>
  <si>
    <t>31923</t>
  </si>
  <si>
    <t>27173</t>
  </si>
  <si>
    <t>8988</t>
  </si>
  <si>
    <t>27490</t>
  </si>
  <si>
    <t>16196</t>
  </si>
  <si>
    <t>36812</t>
  </si>
  <si>
    <t>16373</t>
  </si>
  <si>
    <t>42354</t>
  </si>
  <si>
    <t>12448</t>
  </si>
  <si>
    <t>38963</t>
  </si>
  <si>
    <t>8047</t>
  </si>
  <si>
    <t>30053</t>
  </si>
  <si>
    <t>9320</t>
  </si>
  <si>
    <t>35340</t>
  </si>
  <si>
    <t>34732</t>
  </si>
  <si>
    <t>9119</t>
  </si>
  <si>
    <t>30455</t>
  </si>
  <si>
    <t>9318</t>
  </si>
  <si>
    <t>31159</t>
  </si>
  <si>
    <t>9968</t>
  </si>
  <si>
    <t>32484</t>
  </si>
  <si>
    <t>8612</t>
  </si>
  <si>
    <t>29053</t>
  </si>
  <si>
    <t>7450</t>
  </si>
  <si>
    <t>27298</t>
  </si>
  <si>
    <t>8528</t>
  </si>
  <si>
    <t>28436</t>
  </si>
  <si>
    <t>9090</t>
  </si>
  <si>
    <t>29890</t>
  </si>
  <si>
    <t>9339</t>
  </si>
  <si>
    <t>32467</t>
  </si>
  <si>
    <t>11360</t>
  </si>
  <si>
    <t>38969</t>
  </si>
  <si>
    <t>9655</t>
  </si>
  <si>
    <t>35747</t>
  </si>
  <si>
    <t>8342</t>
  </si>
  <si>
    <t>29094</t>
  </si>
  <si>
    <t>5947</t>
  </si>
  <si>
    <t>21585</t>
  </si>
  <si>
    <t>7553</t>
  </si>
  <si>
    <t>26356</t>
  </si>
  <si>
    <t>8938</t>
  </si>
  <si>
    <t>27427</t>
  </si>
  <si>
    <t>8568</t>
  </si>
  <si>
    <t>27309</t>
  </si>
  <si>
    <t>8622</t>
  </si>
  <si>
    <t>28803</t>
  </si>
  <si>
    <t>8954</t>
  </si>
  <si>
    <t>29893</t>
  </si>
  <si>
    <t>9270</t>
  </si>
  <si>
    <t>35284</t>
  </si>
  <si>
    <t>8074</t>
  </si>
  <si>
    <t>23891</t>
  </si>
  <si>
    <t>12209</t>
  </si>
  <si>
    <t>32447</t>
  </si>
  <si>
    <t>9264</t>
  </si>
  <si>
    <t>33788</t>
  </si>
  <si>
    <t>8887</t>
  </si>
  <si>
    <t>37914</t>
  </si>
  <si>
    <t>8347</t>
  </si>
  <si>
    <t>21776</t>
  </si>
  <si>
    <t>9261</t>
  </si>
  <si>
    <t>33275</t>
  </si>
  <si>
    <t>9315</t>
  </si>
  <si>
    <t>36670</t>
  </si>
  <si>
    <t>8608</t>
  </si>
  <si>
    <t>31440</t>
  </si>
  <si>
    <t>10092</t>
  </si>
  <si>
    <t>36807</t>
  </si>
  <si>
    <t>11488</t>
  </si>
  <si>
    <t>35142</t>
  </si>
  <si>
    <t>9722</t>
  </si>
  <si>
    <t>35753</t>
  </si>
  <si>
    <t>8977</t>
  </si>
  <si>
    <t>29891</t>
  </si>
  <si>
    <t>8920</t>
  </si>
  <si>
    <t>34657</t>
  </si>
  <si>
    <t>265340041.51597226</t>
  </si>
  <si>
    <t>99335524.4963434</t>
  </si>
  <si>
    <t>5459775235.714285</t>
  </si>
  <si>
    <t>88.2</t>
  </si>
  <si>
    <t>3208807269.0</t>
  </si>
  <si>
    <t>77988</t>
  </si>
  <si>
    <t>87.327714348</t>
  </si>
  <si>
    <t>298444383.9280854</t>
  </si>
  <si>
    <t>75719934.43785208</t>
  </si>
  <si>
    <t>5663668558.782905</t>
  </si>
  <si>
    <t>91.51</t>
  </si>
  <si>
    <t>3398528442.9999995</t>
  </si>
  <si>
    <t>77062</t>
  </si>
  <si>
    <t>92.3853050463</t>
  </si>
  <si>
    <t>304880459.7100829</t>
  </si>
  <si>
    <t>116454877.14051306</t>
  </si>
  <si>
    <t>5665866650.243251</t>
  </si>
  <si>
    <t>91.57</t>
  </si>
  <si>
    <t>3145769021.0</t>
  </si>
  <si>
    <t>82834</t>
  </si>
  <si>
    <t>91.5695861036</t>
  </si>
  <si>
    <t>363179117.65697664</t>
  </si>
  <si>
    <t>114727883.34078784</t>
  </si>
  <si>
    <t>5898150811.193573</t>
  </si>
  <si>
    <t>95.34</t>
  </si>
  <si>
    <t>3566921483.0</t>
  </si>
  <si>
    <t>78435</t>
  </si>
  <si>
    <t>243924668.44906643</t>
  </si>
  <si>
    <t>82394806.80079985</t>
  </si>
  <si>
    <t>5360982993.15275</t>
  </si>
  <si>
    <t>4108852208.0</t>
  </si>
  <si>
    <t>72386</t>
  </si>
  <si>
    <t>85.82319073680002</t>
  </si>
  <si>
    <t>383272450.2824876</t>
  </si>
  <si>
    <t>142981818.7143332</t>
  </si>
  <si>
    <t>5503740779.380277</t>
  </si>
  <si>
    <t>89.01</t>
  </si>
  <si>
    <t>3317998478.0</t>
  </si>
  <si>
    <t>72963</t>
  </si>
  <si>
    <t>74.76056712</t>
  </si>
  <si>
    <t>435634540.67270195</t>
  </si>
  <si>
    <t>146294222.56415892</t>
  </si>
  <si>
    <t>5911452193.943146</t>
  </si>
  <si>
    <t>95.63</t>
  </si>
  <si>
    <t>5319840521.0</t>
  </si>
  <si>
    <t>86607</t>
  </si>
  <si>
    <t>106.3359668911</t>
  </si>
  <si>
    <t>1252506404.305531</t>
  </si>
  <si>
    <t>295667603.0524907</t>
  </si>
  <si>
    <t>6277214539.378909</t>
  </si>
  <si>
    <t>101.57</t>
  </si>
  <si>
    <t>6442000276.0</t>
  </si>
  <si>
    <t>98860</t>
  </si>
  <si>
    <t>141.354552563</t>
  </si>
  <si>
    <t>360705587.70879656</t>
  </si>
  <si>
    <t>143066600.41926086</t>
  </si>
  <si>
    <t>5663919699.137999</t>
  </si>
  <si>
    <t>91.66</t>
  </si>
  <si>
    <t>5168624436.0</t>
  </si>
  <si>
    <t>95450</t>
  </si>
  <si>
    <t>141.0525794678</t>
  </si>
  <si>
    <t>287653344.8737458</t>
  </si>
  <si>
    <t>112936135.22162658</t>
  </si>
  <si>
    <t>5439232366.093647</t>
  </si>
  <si>
    <t>88.05</t>
  </si>
  <si>
    <t>4930071296.0</t>
  </si>
  <si>
    <t>82088</t>
  </si>
  <si>
    <t>110.24929983599999</t>
  </si>
  <si>
    <t>387389917.0834295</t>
  </si>
  <si>
    <t>224069325.50473568</t>
  </si>
  <si>
    <t>5226634442.823529</t>
  </si>
  <si>
    <t>84.63</t>
  </si>
  <si>
    <t>4658762984.0</t>
  </si>
  <si>
    <t>73254</t>
  </si>
  <si>
    <t>91.92617064539999</t>
  </si>
  <si>
    <t>278773964.3294918</t>
  </si>
  <si>
    <t>133620062.69831203</t>
  </si>
  <si>
    <t>5528383909.254583</t>
  </si>
  <si>
    <t>89.54</t>
  </si>
  <si>
    <t>5582599422.0</t>
  </si>
  <si>
    <t>69577</t>
  </si>
  <si>
    <t>95.0393256362</t>
  </si>
  <si>
    <t>240693344.5745854</t>
  </si>
  <si>
    <t>90570173.7951895</t>
  </si>
  <si>
    <t>4763262367.971755</t>
  </si>
  <si>
    <t>77.16</t>
  </si>
  <si>
    <t>5491744173.0</t>
  </si>
  <si>
    <t>80169</t>
  </si>
  <si>
    <t>90.2517472308</t>
  </si>
  <si>
    <t>182688104.18792787</t>
  </si>
  <si>
    <t>74553147.48999652</t>
  </si>
  <si>
    <t>4578627385.975638</t>
  </si>
  <si>
    <t>74.19</t>
  </si>
  <si>
    <t>3051537532.0</t>
  </si>
  <si>
    <t>73124</t>
  </si>
  <si>
    <t>72.482264904</t>
  </si>
  <si>
    <t>245346074.2830749</t>
  </si>
  <si>
    <t>129595844.96090297</t>
  </si>
  <si>
    <t>4602240572.525478</t>
  </si>
  <si>
    <t>74.59</t>
  </si>
  <si>
    <t>2436426305.0</t>
  </si>
  <si>
    <t>69330</t>
  </si>
  <si>
    <t>74.5594994031</t>
  </si>
  <si>
    <t>167598847.86994076</t>
  </si>
  <si>
    <t>71262467.04744366</t>
  </si>
  <si>
    <t>4604952869.362102</t>
  </si>
  <si>
    <t>74.65</t>
  </si>
  <si>
    <t>2532851418.0</t>
  </si>
  <si>
    <t>68141</t>
  </si>
  <si>
    <t>70.4051359925</t>
  </si>
  <si>
    <t>211357859.2656766</t>
  </si>
  <si>
    <t>82398295.70069043</t>
  </si>
  <si>
    <t>4624412923.861026</t>
  </si>
  <si>
    <t>74.98</t>
  </si>
  <si>
    <t>3088433048.0000005</t>
  </si>
  <si>
    <t>67418</t>
  </si>
  <si>
    <t>69.4560179548</t>
  </si>
  <si>
    <t>243659118.13104528</t>
  </si>
  <si>
    <t>82673241.15322098</t>
  </si>
  <si>
    <t>4688078187.453855</t>
  </si>
  <si>
    <t>76.03</t>
  </si>
  <si>
    <t>2933488799.0</t>
  </si>
  <si>
    <t>69849</t>
  </si>
  <si>
    <t>71.5195765122</t>
  </si>
  <si>
    <t>117651000.16997263</t>
  </si>
  <si>
    <t>47196419.372045584</t>
  </si>
  <si>
    <t>4808454365.7015</t>
  </si>
  <si>
    <t>78.0</t>
  </si>
  <si>
    <t>2650746461.0</t>
  </si>
  <si>
    <t>60266</t>
  </si>
  <si>
    <t>60.825757980000006</t>
  </si>
  <si>
    <t>169228181.19940543</t>
  </si>
  <si>
    <t>64992058.42961719</t>
  </si>
  <si>
    <t>4887991348.025749</t>
  </si>
  <si>
    <t>79.31</t>
  </si>
  <si>
    <t>3502670655.0</t>
  </si>
  <si>
    <t>68342</t>
  </si>
  <si>
    <t>73.75783841580001</t>
  </si>
  <si>
    <t>188700871.40761742</t>
  </si>
  <si>
    <t>94082014.8322082</t>
  </si>
  <si>
    <t>4544493075.483171</t>
  </si>
  <si>
    <t>73.76</t>
  </si>
  <si>
    <t>3850339792.0</t>
  </si>
  <si>
    <t>67562</t>
  </si>
  <si>
    <t>75.7483534832</t>
  </si>
  <si>
    <t>183353234.28159645</t>
  </si>
  <si>
    <t>80769974.54449825</t>
  </si>
  <si>
    <t>4538664026.537273</t>
  </si>
  <si>
    <t>73.68</t>
  </si>
  <si>
    <t>2903392114.0</t>
  </si>
  <si>
    <t>63025</t>
  </si>
  <si>
    <t>56.1766816152</t>
  </si>
  <si>
    <t>167935925.95427585</t>
  </si>
  <si>
    <t>73632854.3783747</t>
  </si>
  <si>
    <t>4575763045.860711</t>
  </si>
  <si>
    <t>74.3</t>
  </si>
  <si>
    <t>2871792311.0</t>
  </si>
  <si>
    <t>63744</t>
  </si>
  <si>
    <t>63.64373797</t>
  </si>
  <si>
    <t>309979</t>
  </si>
  <si>
    <t>305247</t>
  </si>
  <si>
    <t>328976</t>
  </si>
  <si>
    <t>305206</t>
  </si>
  <si>
    <t>282299</t>
  </si>
  <si>
    <t>288234</t>
  </si>
  <si>
    <t>323446</t>
  </si>
  <si>
    <t>362642</t>
  </si>
  <si>
    <t>336619</t>
  </si>
  <si>
    <t>320061</t>
  </si>
  <si>
    <t>289870</t>
  </si>
  <si>
    <t>252854</t>
  </si>
  <si>
    <t>262146</t>
  </si>
  <si>
    <t>265935</t>
  </si>
  <si>
    <t>255099</t>
  </si>
  <si>
    <t>249531</t>
  </si>
  <si>
    <t>245549</t>
  </si>
  <si>
    <t>247411</t>
  </si>
  <si>
    <t>224748</t>
  </si>
  <si>
    <t>220075</t>
  </si>
  <si>
    <t>239883</t>
  </si>
  <si>
    <t>226926</t>
  </si>
  <si>
    <t>265154</t>
  </si>
  <si>
    <t>3281590959.0329175</t>
  </si>
  <si>
    <t>95.4979453935</t>
  </si>
  <si>
    <t>6520481885.322678</t>
  </si>
  <si>
    <t>2898283901.71127</t>
  </si>
  <si>
    <t>140957548389.07178</t>
  </si>
  <si>
    <t>7956.29</t>
  </si>
  <si>
    <t>24719473175.0</t>
  </si>
  <si>
    <t>99.4136048613</t>
  </si>
  <si>
    <t>6117259296.841225</t>
  </si>
  <si>
    <t>3278275898.888072</t>
  </si>
  <si>
    <t>141324912353.6726</t>
  </si>
  <si>
    <t>7977.97</t>
  </si>
  <si>
    <t>25127245056.0</t>
  </si>
  <si>
    <t>126.84860608420001</t>
  </si>
  <si>
    <t>6250211201.136137</t>
  </si>
  <si>
    <t>3201034981.9395285</t>
  </si>
  <si>
    <t>145187822060.90735</t>
  </si>
  <si>
    <t>8196.92</t>
  </si>
  <si>
    <t>23843404340.0</t>
  </si>
  <si>
    <t>114.74892898760001</t>
  </si>
  <si>
    <t>4594987221.101531</t>
  </si>
  <si>
    <t>2097501314.1043737</t>
  </si>
  <si>
    <t>128719106246.86609</t>
  </si>
  <si>
    <t>7267.96</t>
  </si>
  <si>
    <t>25902422040.0</t>
  </si>
  <si>
    <t>65.6629660568</t>
  </si>
  <si>
    <t>4457180562.867803</t>
  </si>
  <si>
    <t>2065414199.8753307</t>
  </si>
  <si>
    <t>130009286110.03914</t>
  </si>
  <si>
    <t>7341.66</t>
  </si>
  <si>
    <t>21354286562.0</t>
  </si>
  <si>
    <t>101.05824356640001</t>
  </si>
  <si>
    <t>7850066403.860216</t>
  </si>
  <si>
    <t>4082188350.2528186</t>
  </si>
  <si>
    <t>139649939236.24188</t>
  </si>
  <si>
    <t>7886.93</t>
  </si>
  <si>
    <t>30066644905.0</t>
  </si>
  <si>
    <t>192.44109200000003</t>
  </si>
  <si>
    <t>8525663593.864878</t>
  </si>
  <si>
    <t>4326946118.807053</t>
  </si>
  <si>
    <t>145080741378.60434</t>
  </si>
  <si>
    <t>8194.5</t>
  </si>
  <si>
    <t>33167197581.0</t>
  </si>
  <si>
    <t>176.70095352</t>
  </si>
  <si>
    <t>8914379835.129238</t>
  </si>
  <si>
    <t>4291459074.636135</t>
  </si>
  <si>
    <t>141434072191.79495</t>
  </si>
  <si>
    <t>7989.37</t>
  </si>
  <si>
    <t>28344112920.0</t>
  </si>
  <si>
    <t>196.182975035</t>
  </si>
  <si>
    <t>8023499477.888937</t>
  </si>
  <si>
    <t>4328878924.772111</t>
  </si>
  <si>
    <t>138206725534.56934</t>
  </si>
  <si>
    <t>7807.88</t>
  </si>
  <si>
    <t>32031452227.0</t>
  </si>
  <si>
    <t>191.5265936908</t>
  </si>
  <si>
    <t>6223517770.737462</t>
  </si>
  <si>
    <t>3156486685.0090895</t>
  </si>
  <si>
    <t>123383186647.06512</t>
  </si>
  <si>
    <t>6971.18</t>
  </si>
  <si>
    <t>28677672181.0</t>
  </si>
  <si>
    <t>155.7621637014</t>
  </si>
  <si>
    <t>5013764122.232704</t>
  </si>
  <si>
    <t>2473263371.4527555</t>
  </si>
  <si>
    <t>127480184138.432</t>
  </si>
  <si>
    <t>7203.51</t>
  </si>
  <si>
    <t>27773333680.0</t>
  </si>
  <si>
    <t>138.3890077683</t>
  </si>
  <si>
    <t>5695598950.023411</t>
  </si>
  <si>
    <t>3046500346.1573644</t>
  </si>
  <si>
    <t>112888287241.80928</t>
  </si>
  <si>
    <t>6379.67</t>
  </si>
  <si>
    <t>28867562329.0</t>
  </si>
  <si>
    <t>154.3773599511</t>
  </si>
  <si>
    <t>5747935819.259752</t>
  </si>
  <si>
    <t>2937128032.871055</t>
  </si>
  <si>
    <t>109271001326.10637</t>
  </si>
  <si>
    <t>6175.82</t>
  </si>
  <si>
    <t>19419875368.0</t>
  </si>
  <si>
    <t>176.629069582</t>
  </si>
  <si>
    <t>5393856394.3687105</t>
  </si>
  <si>
    <t>3058618716.014783</t>
  </si>
  <si>
    <t>105838058287.63322</t>
  </si>
  <si>
    <t>5982.32</t>
  </si>
  <si>
    <t>16784645411.0</t>
  </si>
  <si>
    <t>115.1313038032</t>
  </si>
  <si>
    <t>4993508961.356678</t>
  </si>
  <si>
    <t>2655460315.6910133</t>
  </si>
  <si>
    <t>103476740139.94006</t>
  </si>
  <si>
    <t>5849.48</t>
  </si>
  <si>
    <t>15320605300.0</t>
  </si>
  <si>
    <t>112.7314125392</t>
  </si>
  <si>
    <t>4837953610.679027</t>
  </si>
  <si>
    <t>2358508071.513714</t>
  </si>
  <si>
    <t>101628342873.50531</t>
  </si>
  <si>
    <t>5745.6</t>
  </si>
  <si>
    <t>18026409033.0</t>
  </si>
  <si>
    <t>140.1983856</t>
  </si>
  <si>
    <t>4446892754.984568</t>
  </si>
  <si>
    <t>2261408511.0934367</t>
  </si>
  <si>
    <t>102434237396.1075</t>
  </si>
  <si>
    <t>5791.69</t>
  </si>
  <si>
    <t>15737171804.000002</t>
  </si>
  <si>
    <t>81.6925403697</t>
  </si>
  <si>
    <t>3495478477.247345</t>
  </si>
  <si>
    <t>1749320383.180902</t>
  </si>
  <si>
    <t>103119745216.84297</t>
  </si>
  <si>
    <t>5831.07</t>
  </si>
  <si>
    <t>14808830723.0</t>
  </si>
  <si>
    <t>51.3211130124</t>
  </si>
  <si>
    <t>3760183937.8403616</t>
  </si>
  <si>
    <t>1738141222.6279233</t>
  </si>
  <si>
    <t>102016211677.48888</t>
  </si>
  <si>
    <t>5769.2</t>
  </si>
  <si>
    <t>17567780766.0</t>
  </si>
  <si>
    <t>56.91719644</t>
  </si>
  <si>
    <t>4682645559.703295</t>
  </si>
  <si>
    <t>2288315221.6264606</t>
  </si>
  <si>
    <t>97340866766.6271</t>
  </si>
  <si>
    <t>5505.55</t>
  </si>
  <si>
    <t>18720780006.0</t>
  </si>
  <si>
    <t>99.5966657765</t>
  </si>
  <si>
    <t>3891604648.334474</t>
  </si>
  <si>
    <t>2058904056.352872</t>
  </si>
  <si>
    <t>95511607850.13582</t>
  </si>
  <si>
    <t>5402.42</t>
  </si>
  <si>
    <t>14644460907.0</t>
  </si>
  <si>
    <t>44.088393281200005</t>
  </si>
  <si>
    <t>3907707091.044636</t>
  </si>
  <si>
    <t>2146810217.3614821</t>
  </si>
  <si>
    <t>94585641437.99078</t>
  </si>
  <si>
    <t>5350.91</t>
  </si>
  <si>
    <t>13679528236.0</t>
  </si>
  <si>
    <t>46.930637736899996</t>
  </si>
  <si>
    <t>ethereum</t>
  </si>
  <si>
    <t>bitcoin</t>
  </si>
  <si>
    <t>litecoin</t>
  </si>
  <si>
    <t>bitcoin-cash</t>
  </si>
  <si>
    <t>dash</t>
  </si>
  <si>
    <t>136029268041.969</t>
  </si>
  <si>
    <t>bitcoin_ehat</t>
  </si>
  <si>
    <t>bitcoin_yhat</t>
  </si>
  <si>
    <t>ethereum_yhat</t>
  </si>
  <si>
    <t>ethereum_ehat</t>
  </si>
  <si>
    <t>bitcoincash_yhat</t>
  </si>
  <si>
    <t>bitcoincash_ehat</t>
  </si>
  <si>
    <t>litecoin_yhat</t>
  </si>
  <si>
    <t>litecoin_ehat</t>
  </si>
  <si>
    <t>dash_yhat</t>
  </si>
  <si>
    <t>dash_ehat</t>
  </si>
  <si>
    <t>Bitcoin</t>
  </si>
  <si>
    <t>Ethereum</t>
  </si>
  <si>
    <t>Litecoin</t>
  </si>
  <si>
    <t>Bitcoin Cash</t>
  </si>
  <si>
    <t>Dash</t>
  </si>
  <si>
    <t>MAPE (388)</t>
  </si>
  <si>
    <t>MAPE (23)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</si>
</sst>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₽&quot;_-;\-* #,##0.00\ &quot;₽&quot;_-;_-* &quot;-&quot;??\ &quot;₽&quot;_-;_-@_-"/>
    <numFmt numFmtId="164" formatCode="#,##0.00\ &quot;₽&quot;"/>
    <numFmt numFmtId="167" formatCode="0.000"/>
    <numFmt numFmtId="168" formatCode="0.0000"/>
  </numFmts>
  <fonts count="5" x14ac:knownFonts="1">
    <font>
      <sz val="11"/>
      <color theme="1"/>
      <name val="Calibri"/>
      <family val="2"/>
      <charset val="204"/>
      <scheme val="minor"/>
    </font>
    <font>
      <b/>
      <sz val="12"/>
      <name val="Arial"/>
      <family val="2"/>
      <charset val="204"/>
    </font>
    <font>
      <sz val="1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44" fontId="0" fillId="0" borderId="0" xfId="0" applyNumberFormat="1" applyFont="1" applyFill="1" applyBorder="1" applyAlignment="1" applyProtection="1"/>
    <xf numFmtId="164" fontId="0" fillId="0" borderId="0" xfId="0" applyNumberFormat="1" applyFont="1" applyFill="1" applyBorder="1" applyAlignment="1" applyProtection="1"/>
    <xf numFmtId="17" fontId="0" fillId="0" borderId="0" xfId="0" applyNumberFormat="1"/>
    <xf numFmtId="2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0" borderId="0" xfId="0" applyNumberFormat="1"/>
    <xf numFmtId="0" fontId="4" fillId="0" borderId="1" xfId="0" applyFont="1" applyBorder="1" applyAlignment="1">
      <alignment horizontal="center"/>
    </xf>
    <xf numFmtId="10" fontId="4" fillId="0" borderId="1" xfId="1" applyNumberFormat="1" applyFont="1" applyBorder="1"/>
    <xf numFmtId="0" fontId="4" fillId="0" borderId="1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C4910-6CA9-4170-917D-6278A1A2F966}">
  <dimension ref="A1:Q389"/>
  <sheetViews>
    <sheetView workbookViewId="0">
      <selection sqref="A1:E389"/>
    </sheetView>
  </sheetViews>
  <sheetFormatPr defaultRowHeight="15" x14ac:dyDescent="0.25"/>
  <cols>
    <col min="1" max="1" width="10.140625" bestFit="1" customWidth="1"/>
    <col min="2" max="2" width="18.85546875" bestFit="1" customWidth="1"/>
    <col min="4" max="4" width="12" customWidth="1"/>
    <col min="5" max="5" width="18.85546875" bestFit="1" customWidth="1"/>
    <col min="6" max="6" width="7.5703125" bestFit="1" customWidth="1"/>
    <col min="7" max="7" width="22.7109375" bestFit="1" customWidth="1"/>
    <col min="8" max="8" width="22" bestFit="1" customWidth="1"/>
    <col min="9" max="9" width="19.85546875" bestFit="1" customWidth="1"/>
    <col min="10" max="10" width="12" bestFit="1" customWidth="1"/>
    <col min="11" max="11" width="20.5703125" bestFit="1" customWidth="1"/>
    <col min="12" max="12" width="20.7109375" bestFit="1" customWidth="1"/>
    <col min="13" max="13" width="18.42578125" bestFit="1" customWidth="1"/>
    <col min="14" max="14" width="25.42578125" bestFit="1" customWidth="1"/>
    <col min="15" max="15" width="13.85546875" bestFit="1" customWidth="1"/>
    <col min="16" max="16" width="12.85546875" bestFit="1" customWidth="1"/>
    <col min="17" max="17" width="15" bestFit="1" customWidth="1"/>
  </cols>
  <sheetData>
    <row r="1" spans="1:17" ht="15.75" x14ac:dyDescent="0.25">
      <c r="A1" s="3" t="s">
        <v>2190</v>
      </c>
      <c r="B1" s="3" t="s">
        <v>2191</v>
      </c>
      <c r="C1" s="3" t="s">
        <v>2192</v>
      </c>
      <c r="D1" s="3" t="s">
        <v>2193</v>
      </c>
      <c r="E1" s="3" t="s">
        <v>2194</v>
      </c>
      <c r="F1" s="3" t="s">
        <v>2195</v>
      </c>
      <c r="G1" s="3" t="s">
        <v>2196</v>
      </c>
      <c r="H1" s="3" t="s">
        <v>2197</v>
      </c>
      <c r="I1" s="3" t="s">
        <v>2198</v>
      </c>
      <c r="J1" s="3" t="s">
        <v>2199</v>
      </c>
      <c r="K1" s="3" t="s">
        <v>2200</v>
      </c>
      <c r="L1" s="3" t="s">
        <v>2201</v>
      </c>
      <c r="M1" s="3" t="s">
        <v>2202</v>
      </c>
      <c r="N1" s="3" t="s">
        <v>2203</v>
      </c>
      <c r="O1" s="3" t="s">
        <v>2204</v>
      </c>
      <c r="P1" s="3" t="s">
        <v>2205</v>
      </c>
      <c r="Q1" s="3" t="s">
        <v>2206</v>
      </c>
    </row>
    <row r="2" spans="1:17" x14ac:dyDescent="0.25">
      <c r="A2" s="1">
        <v>43608</v>
      </c>
      <c r="B2" s="2">
        <v>6328959507.1875496</v>
      </c>
      <c r="C2" s="2" t="s">
        <v>6073</v>
      </c>
      <c r="D2" s="2">
        <v>389185</v>
      </c>
      <c r="E2" s="6" t="s">
        <v>6212</v>
      </c>
      <c r="F2" s="2">
        <v>7677.27</v>
      </c>
      <c r="G2" s="5">
        <f>F2*D2</f>
        <v>2987878324.9500003</v>
      </c>
      <c r="H2" s="2">
        <v>81086368970.600006</v>
      </c>
      <c r="I2" s="2">
        <v>1975</v>
      </c>
      <c r="J2" s="2">
        <v>163.96291640000001</v>
      </c>
      <c r="K2" s="2">
        <v>833107</v>
      </c>
      <c r="L2" s="2">
        <v>6704632680590</v>
      </c>
      <c r="M2" s="2">
        <v>542140</v>
      </c>
      <c r="N2" s="2" t="s">
        <v>6074</v>
      </c>
      <c r="O2" s="2">
        <v>2.5700000000000001E-4</v>
      </c>
      <c r="P2" s="2">
        <v>193865236</v>
      </c>
      <c r="Q2" s="2">
        <v>158</v>
      </c>
    </row>
    <row r="3" spans="1:17" x14ac:dyDescent="0.25">
      <c r="A3" s="1">
        <v>43607</v>
      </c>
      <c r="B3" s="2" t="s">
        <v>6075</v>
      </c>
      <c r="C3" s="2" t="s">
        <v>6076</v>
      </c>
      <c r="D3" s="2">
        <v>394720</v>
      </c>
      <c r="E3" s="2" t="s">
        <v>6077</v>
      </c>
      <c r="F3" s="2" t="s">
        <v>6078</v>
      </c>
      <c r="G3" s="2" t="s">
        <v>6079</v>
      </c>
      <c r="H3" s="2">
        <v>80948336589.699997</v>
      </c>
      <c r="I3" s="2">
        <v>2087.5</v>
      </c>
      <c r="J3" s="2">
        <v>176.73831344999999</v>
      </c>
      <c r="K3" s="2">
        <v>872877</v>
      </c>
      <c r="L3" s="2">
        <v>6704632680590</v>
      </c>
      <c r="M3" s="2">
        <v>560588</v>
      </c>
      <c r="N3" s="2" t="s">
        <v>6080</v>
      </c>
      <c r="O3" s="2">
        <v>2.7556E-4</v>
      </c>
      <c r="P3" s="2">
        <v>200607630</v>
      </c>
      <c r="Q3" s="2">
        <v>167</v>
      </c>
    </row>
    <row r="4" spans="1:17" x14ac:dyDescent="0.25">
      <c r="A4" s="1">
        <v>43606</v>
      </c>
      <c r="B4" s="2" t="s">
        <v>6081</v>
      </c>
      <c r="C4" s="2" t="s">
        <v>6082</v>
      </c>
      <c r="D4" s="2">
        <v>380736</v>
      </c>
      <c r="E4" s="2" t="s">
        <v>6083</v>
      </c>
      <c r="F4" s="2" t="s">
        <v>6084</v>
      </c>
      <c r="G4" s="2" t="s">
        <v>6085</v>
      </c>
      <c r="H4" s="2">
        <v>80919979024</v>
      </c>
      <c r="I4" s="2">
        <v>1912.5</v>
      </c>
      <c r="J4" s="2">
        <v>202.48141459999999</v>
      </c>
      <c r="K4" s="2">
        <v>885569</v>
      </c>
      <c r="L4" s="2">
        <v>6704632680590</v>
      </c>
      <c r="M4" s="2">
        <v>564879</v>
      </c>
      <c r="N4" s="2" t="s">
        <v>6086</v>
      </c>
      <c r="O4" s="2">
        <v>3.1503999999999999E-4</v>
      </c>
      <c r="P4" s="2">
        <v>192572388</v>
      </c>
      <c r="Q4" s="2">
        <v>153</v>
      </c>
    </row>
    <row r="5" spans="1:17" x14ac:dyDescent="0.25">
      <c r="A5" s="1">
        <v>43605</v>
      </c>
      <c r="B5" s="2" t="s">
        <v>6087</v>
      </c>
      <c r="C5" s="2" t="s">
        <v>6088</v>
      </c>
      <c r="D5" s="2">
        <v>381421</v>
      </c>
      <c r="E5" s="2" t="s">
        <v>6089</v>
      </c>
      <c r="F5" s="2" t="s">
        <v>6090</v>
      </c>
      <c r="G5" s="2" t="s">
        <v>6091</v>
      </c>
      <c r="H5" s="2">
        <v>80787429434.600006</v>
      </c>
      <c r="I5" s="2">
        <v>2012.5</v>
      </c>
      <c r="J5" s="2">
        <v>186.09991131999999</v>
      </c>
      <c r="K5" s="2">
        <v>833741</v>
      </c>
      <c r="L5" s="2">
        <v>6704632680590</v>
      </c>
      <c r="M5" s="2">
        <v>522783</v>
      </c>
      <c r="N5" s="2" t="s">
        <v>6092</v>
      </c>
      <c r="O5" s="2">
        <v>2.8992999999999998E-4</v>
      </c>
      <c r="P5" s="2">
        <v>189548139</v>
      </c>
      <c r="Q5" s="2">
        <v>161</v>
      </c>
    </row>
    <row r="6" spans="1:17" x14ac:dyDescent="0.25">
      <c r="A6" s="1">
        <v>43604</v>
      </c>
      <c r="B6" s="2" t="s">
        <v>6093</v>
      </c>
      <c r="C6" s="2" t="s">
        <v>6094</v>
      </c>
      <c r="D6" s="2">
        <v>346696</v>
      </c>
      <c r="E6" s="2" t="s">
        <v>6095</v>
      </c>
      <c r="F6" s="2" t="s">
        <v>6096</v>
      </c>
      <c r="G6" s="2" t="s">
        <v>6097</v>
      </c>
      <c r="H6" s="2">
        <v>80657928279.699997</v>
      </c>
      <c r="I6" s="2">
        <v>2037.5</v>
      </c>
      <c r="J6" s="2">
        <v>125.66729304</v>
      </c>
      <c r="K6" s="2">
        <v>748605</v>
      </c>
      <c r="L6" s="2">
        <v>6704632680590</v>
      </c>
      <c r="M6" s="2">
        <v>421785</v>
      </c>
      <c r="N6" s="2" t="s">
        <v>6098</v>
      </c>
      <c r="O6" s="2">
        <v>2.2453999999999999E-4</v>
      </c>
      <c r="P6" s="2">
        <v>183215528</v>
      </c>
      <c r="Q6" s="2">
        <v>163</v>
      </c>
    </row>
    <row r="7" spans="1:17" x14ac:dyDescent="0.25">
      <c r="A7" s="1">
        <v>43603</v>
      </c>
      <c r="B7" s="2" t="s">
        <v>6099</v>
      </c>
      <c r="C7" s="2" t="s">
        <v>6100</v>
      </c>
      <c r="D7" s="2">
        <v>359551</v>
      </c>
      <c r="E7" s="2" t="s">
        <v>6101</v>
      </c>
      <c r="F7" s="2" t="s">
        <v>6102</v>
      </c>
      <c r="G7" s="2" t="s">
        <v>6103</v>
      </c>
      <c r="H7" s="2">
        <v>80452170479.100006</v>
      </c>
      <c r="I7" s="2">
        <v>1912.5</v>
      </c>
      <c r="J7" s="2">
        <v>134.78731748999999</v>
      </c>
      <c r="K7" s="2">
        <v>855044</v>
      </c>
      <c r="L7" s="2">
        <v>6703779555090</v>
      </c>
      <c r="M7" s="2">
        <v>493066</v>
      </c>
      <c r="N7" s="2" t="s">
        <v>6104</v>
      </c>
      <c r="O7" s="2">
        <v>2.3268E-4</v>
      </c>
      <c r="P7" s="2">
        <v>190077104</v>
      </c>
      <c r="Q7" s="2">
        <v>153</v>
      </c>
    </row>
    <row r="8" spans="1:17" x14ac:dyDescent="0.25">
      <c r="A8" s="1">
        <v>43602</v>
      </c>
      <c r="B8" s="2" t="s">
        <v>6105</v>
      </c>
      <c r="C8" s="2" t="s">
        <v>6106</v>
      </c>
      <c r="D8" s="2">
        <v>361503</v>
      </c>
      <c r="E8" s="2" t="s">
        <v>6107</v>
      </c>
      <c r="F8" s="2" t="s">
        <v>6108</v>
      </c>
      <c r="G8" s="2" t="s">
        <v>6109</v>
      </c>
      <c r="H8" s="2">
        <v>80424425367.199997</v>
      </c>
      <c r="I8" s="2">
        <v>1887.5</v>
      </c>
      <c r="J8" s="2">
        <v>227.26659936999999</v>
      </c>
      <c r="K8" s="2">
        <v>907033</v>
      </c>
      <c r="L8" s="2">
        <v>6702169884350</v>
      </c>
      <c r="M8" s="2">
        <v>577810</v>
      </c>
      <c r="N8" s="2" t="s">
        <v>6110</v>
      </c>
      <c r="O8" s="2">
        <v>3.5525999999999998E-4</v>
      </c>
      <c r="P8" s="2">
        <v>190472111</v>
      </c>
      <c r="Q8" s="2">
        <v>151</v>
      </c>
    </row>
    <row r="9" spans="1:17" x14ac:dyDescent="0.25">
      <c r="A9" s="1">
        <v>43601</v>
      </c>
      <c r="B9" s="2" t="s">
        <v>6111</v>
      </c>
      <c r="C9" s="2" t="s">
        <v>6112</v>
      </c>
      <c r="D9" s="2">
        <v>374916</v>
      </c>
      <c r="E9" s="2" t="s">
        <v>6113</v>
      </c>
      <c r="F9" s="2" t="s">
        <v>6114</v>
      </c>
      <c r="G9" s="2" t="s">
        <v>6115</v>
      </c>
      <c r="H9" s="2">
        <v>80429073713.5</v>
      </c>
      <c r="I9" s="2">
        <v>1825</v>
      </c>
      <c r="J9" s="2">
        <v>228.51579451999999</v>
      </c>
      <c r="K9" s="2">
        <v>882376</v>
      </c>
      <c r="L9" s="2">
        <v>6702169884350</v>
      </c>
      <c r="M9" s="2">
        <v>575421</v>
      </c>
      <c r="N9" s="2" t="s">
        <v>6116</v>
      </c>
      <c r="O9" s="2">
        <v>3.6052000000000002E-4</v>
      </c>
      <c r="P9" s="2">
        <v>181809002</v>
      </c>
      <c r="Q9" s="2">
        <v>146</v>
      </c>
    </row>
    <row r="10" spans="1:17" x14ac:dyDescent="0.25">
      <c r="A10" s="1">
        <v>43600</v>
      </c>
      <c r="B10" s="2" t="s">
        <v>6117</v>
      </c>
      <c r="C10" s="2" t="s">
        <v>6118</v>
      </c>
      <c r="D10" s="2">
        <v>368752</v>
      </c>
      <c r="E10" s="2" t="s">
        <v>6119</v>
      </c>
      <c r="F10" s="2" t="s">
        <v>6120</v>
      </c>
      <c r="G10" s="2" t="s">
        <v>6121</v>
      </c>
      <c r="H10" s="2">
        <v>79912496719.699997</v>
      </c>
      <c r="I10" s="2">
        <v>1862.5</v>
      </c>
      <c r="J10" s="2">
        <v>192.3590738</v>
      </c>
      <c r="K10" s="2">
        <v>877510</v>
      </c>
      <c r="L10" s="2">
        <v>6702169884350</v>
      </c>
      <c r="M10" s="2">
        <v>566099</v>
      </c>
      <c r="N10" s="2" t="s">
        <v>6122</v>
      </c>
      <c r="O10" s="2">
        <v>2.8868999999999998E-4</v>
      </c>
      <c r="P10" s="2">
        <v>184421178</v>
      </c>
      <c r="Q10" s="2">
        <v>149</v>
      </c>
    </row>
    <row r="11" spans="1:17" x14ac:dyDescent="0.25">
      <c r="A11" s="1">
        <v>43599</v>
      </c>
      <c r="B11" s="2" t="s">
        <v>6123</v>
      </c>
      <c r="C11" s="2" t="s">
        <v>6124</v>
      </c>
      <c r="D11" s="2">
        <v>367218</v>
      </c>
      <c r="E11" s="2" t="s">
        <v>6125</v>
      </c>
      <c r="F11" s="2" t="s">
        <v>6126</v>
      </c>
      <c r="G11" s="2" t="s">
        <v>6127</v>
      </c>
      <c r="H11" s="2">
        <v>79363016951</v>
      </c>
      <c r="I11" s="2">
        <v>1900</v>
      </c>
      <c r="J11" s="2">
        <v>132.68789563999999</v>
      </c>
      <c r="K11" s="2">
        <v>902407</v>
      </c>
      <c r="L11" s="2">
        <v>6702169884350</v>
      </c>
      <c r="M11" s="2">
        <v>552377</v>
      </c>
      <c r="N11" s="2" t="s">
        <v>6128</v>
      </c>
      <c r="O11" s="2">
        <v>2.0741999999999999E-4</v>
      </c>
      <c r="P11" s="2">
        <v>187064442</v>
      </c>
      <c r="Q11" s="2">
        <v>152</v>
      </c>
    </row>
    <row r="12" spans="1:17" x14ac:dyDescent="0.25">
      <c r="A12" s="1">
        <v>43598</v>
      </c>
      <c r="B12" s="2" t="s">
        <v>6129</v>
      </c>
      <c r="C12" s="2" t="s">
        <v>6130</v>
      </c>
      <c r="D12" s="2">
        <v>390261</v>
      </c>
      <c r="E12" s="2" t="s">
        <v>6131</v>
      </c>
      <c r="F12" s="2" t="s">
        <v>6132</v>
      </c>
      <c r="G12" s="2" t="s">
        <v>6133</v>
      </c>
      <c r="H12" s="2">
        <v>78838569080.899994</v>
      </c>
      <c r="I12" s="2">
        <v>2087.5</v>
      </c>
      <c r="J12" s="2">
        <v>112.20050336</v>
      </c>
      <c r="K12" s="2">
        <v>876062</v>
      </c>
      <c r="L12" s="2">
        <v>6702169884350</v>
      </c>
      <c r="M12" s="2">
        <v>524448</v>
      </c>
      <c r="N12" s="2" t="s">
        <v>6134</v>
      </c>
      <c r="O12" s="2">
        <v>1.6200000000000001E-4</v>
      </c>
      <c r="P12" s="2">
        <v>200969409</v>
      </c>
      <c r="Q12" s="2">
        <v>167</v>
      </c>
    </row>
    <row r="13" spans="1:17" x14ac:dyDescent="0.25">
      <c r="A13" s="1">
        <v>43597</v>
      </c>
      <c r="B13" s="2" t="s">
        <v>6135</v>
      </c>
      <c r="C13" s="2" t="s">
        <v>6136</v>
      </c>
      <c r="D13" s="2">
        <v>338413</v>
      </c>
      <c r="E13" s="2" t="s">
        <v>6137</v>
      </c>
      <c r="F13" s="2" t="s">
        <v>6138</v>
      </c>
      <c r="G13" s="2" t="s">
        <v>6139</v>
      </c>
      <c r="H13" s="2">
        <v>78313034238.899994</v>
      </c>
      <c r="I13" s="2">
        <v>1975</v>
      </c>
      <c r="J13" s="2">
        <v>104.08015487999999</v>
      </c>
      <c r="K13" s="2">
        <v>824701</v>
      </c>
      <c r="L13" s="2">
        <v>6702169884350</v>
      </c>
      <c r="M13" s="2">
        <v>441292</v>
      </c>
      <c r="N13" s="2" t="s">
        <v>6140</v>
      </c>
      <c r="O13" s="2">
        <v>1.7762E-4</v>
      </c>
      <c r="P13" s="2">
        <v>195096739</v>
      </c>
      <c r="Q13" s="2">
        <v>158</v>
      </c>
    </row>
    <row r="14" spans="1:17" x14ac:dyDescent="0.25">
      <c r="A14" s="1">
        <v>43596</v>
      </c>
      <c r="B14" s="2" t="s">
        <v>6141</v>
      </c>
      <c r="C14" s="2" t="s">
        <v>6142</v>
      </c>
      <c r="D14" s="2">
        <v>344827</v>
      </c>
      <c r="E14" s="2" t="s">
        <v>6143</v>
      </c>
      <c r="F14" s="2" t="s">
        <v>6144</v>
      </c>
      <c r="G14" s="2" t="s">
        <v>6145</v>
      </c>
      <c r="H14" s="2">
        <v>78174488896.5</v>
      </c>
      <c r="I14" s="2">
        <v>1625</v>
      </c>
      <c r="J14" s="2">
        <v>125.12338209000001</v>
      </c>
      <c r="K14" s="2">
        <v>775129</v>
      </c>
      <c r="L14" s="2">
        <v>6702169884350</v>
      </c>
      <c r="M14" s="2">
        <v>455516</v>
      </c>
      <c r="N14" s="2" t="s">
        <v>6146</v>
      </c>
      <c r="O14" s="2">
        <v>2.1922000000000001E-4</v>
      </c>
      <c r="P14" s="2">
        <v>161277322</v>
      </c>
      <c r="Q14" s="2">
        <v>130</v>
      </c>
    </row>
    <row r="15" spans="1:17" x14ac:dyDescent="0.25">
      <c r="A15" s="1">
        <v>43595</v>
      </c>
      <c r="B15" s="2" t="s">
        <v>6147</v>
      </c>
      <c r="C15" s="2" t="s">
        <v>6148</v>
      </c>
      <c r="D15" s="2">
        <v>322838</v>
      </c>
      <c r="E15" s="2" t="s">
        <v>6149</v>
      </c>
      <c r="F15" s="2" t="s">
        <v>6150</v>
      </c>
      <c r="G15" s="2" t="s">
        <v>6151</v>
      </c>
      <c r="H15" s="2">
        <v>77703235330.199997</v>
      </c>
      <c r="I15" s="2">
        <v>1562.5</v>
      </c>
      <c r="J15" s="2">
        <v>123.74361638000001</v>
      </c>
      <c r="K15" s="2">
        <v>784390</v>
      </c>
      <c r="L15" s="2">
        <v>6702169884350</v>
      </c>
      <c r="M15" s="2">
        <v>527045</v>
      </c>
      <c r="N15" s="2" t="s">
        <v>6152</v>
      </c>
      <c r="O15" s="2">
        <v>2.2347E-4</v>
      </c>
      <c r="P15" s="2">
        <v>157435523</v>
      </c>
      <c r="Q15" s="2">
        <v>125</v>
      </c>
    </row>
    <row r="16" spans="1:17" x14ac:dyDescent="0.25">
      <c r="A16" s="1">
        <v>43594</v>
      </c>
      <c r="B16" s="2" t="s">
        <v>6153</v>
      </c>
      <c r="C16" s="2" t="s">
        <v>6154</v>
      </c>
      <c r="D16" s="2">
        <v>361419</v>
      </c>
      <c r="E16" s="2" t="s">
        <v>6155</v>
      </c>
      <c r="F16" s="2" t="s">
        <v>6156</v>
      </c>
      <c r="G16" s="2" t="s">
        <v>6157</v>
      </c>
      <c r="H16" s="2">
        <v>77605613931.199997</v>
      </c>
      <c r="I16" s="2">
        <v>1875</v>
      </c>
      <c r="J16" s="2">
        <v>106.95654809</v>
      </c>
      <c r="K16" s="2">
        <v>826117</v>
      </c>
      <c r="L16" s="2">
        <v>6702169884350</v>
      </c>
      <c r="M16" s="2">
        <v>526335</v>
      </c>
      <c r="N16" s="2" t="s">
        <v>6158</v>
      </c>
      <c r="O16" s="2">
        <v>1.717E-4</v>
      </c>
      <c r="P16" s="2">
        <v>188804963</v>
      </c>
      <c r="Q16" s="2">
        <v>150</v>
      </c>
    </row>
    <row r="17" spans="1:17" x14ac:dyDescent="0.25">
      <c r="A17" s="1">
        <v>43593</v>
      </c>
      <c r="B17" s="2" t="s">
        <v>6159</v>
      </c>
      <c r="C17" s="2" t="s">
        <v>6160</v>
      </c>
      <c r="D17" s="2">
        <v>392929</v>
      </c>
      <c r="E17" s="2" t="s">
        <v>6161</v>
      </c>
      <c r="F17" s="2" t="s">
        <v>6162</v>
      </c>
      <c r="G17" s="2" t="s">
        <v>6163</v>
      </c>
      <c r="H17" s="2">
        <v>77500789469.600006</v>
      </c>
      <c r="I17" s="2">
        <v>1900</v>
      </c>
      <c r="J17" s="2">
        <v>112.30765219</v>
      </c>
      <c r="K17" s="2">
        <v>839338</v>
      </c>
      <c r="L17" s="2">
        <v>6702169884350</v>
      </c>
      <c r="M17" s="2">
        <v>621703</v>
      </c>
      <c r="N17" s="2" t="s">
        <v>6164</v>
      </c>
      <c r="O17" s="2">
        <v>1.6234999999999999E-4</v>
      </c>
      <c r="P17" s="2">
        <v>188947164</v>
      </c>
      <c r="Q17" s="2">
        <v>152</v>
      </c>
    </row>
    <row r="18" spans="1:17" x14ac:dyDescent="0.25">
      <c r="A18" s="1">
        <v>43592</v>
      </c>
      <c r="B18" s="2" t="s">
        <v>6165</v>
      </c>
      <c r="C18" s="2" t="s">
        <v>6166</v>
      </c>
      <c r="D18" s="2">
        <v>329816</v>
      </c>
      <c r="E18" s="2" t="s">
        <v>6167</v>
      </c>
      <c r="F18" s="2" t="s">
        <v>6168</v>
      </c>
      <c r="G18" s="2" t="s">
        <v>6169</v>
      </c>
      <c r="H18" s="2">
        <v>77387545903.399994</v>
      </c>
      <c r="I18" s="2">
        <v>1587.5</v>
      </c>
      <c r="J18" s="2">
        <v>92.319329060000001</v>
      </c>
      <c r="K18" s="2">
        <v>759345</v>
      </c>
      <c r="L18" s="2">
        <v>6702169884350</v>
      </c>
      <c r="M18" s="2">
        <v>534751</v>
      </c>
      <c r="N18" s="2" t="s">
        <v>6170</v>
      </c>
      <c r="O18" s="2">
        <v>1.4982E-4</v>
      </c>
      <c r="P18" s="2">
        <v>161033104</v>
      </c>
      <c r="Q18" s="2">
        <v>127</v>
      </c>
    </row>
    <row r="19" spans="1:17" x14ac:dyDescent="0.25">
      <c r="A19" s="1">
        <v>43591</v>
      </c>
      <c r="B19" s="2" t="s">
        <v>6171</v>
      </c>
      <c r="C19" s="2" t="s">
        <v>6172</v>
      </c>
      <c r="D19" s="2">
        <v>378325</v>
      </c>
      <c r="E19" s="2" t="s">
        <v>6173</v>
      </c>
      <c r="F19" s="2" t="s">
        <v>6174</v>
      </c>
      <c r="G19" s="2" t="s">
        <v>6175</v>
      </c>
      <c r="H19" s="2">
        <v>77330068134.100006</v>
      </c>
      <c r="I19" s="2">
        <v>1887.5</v>
      </c>
      <c r="J19" s="2">
        <v>76.311687169999999</v>
      </c>
      <c r="K19" s="2">
        <v>769267</v>
      </c>
      <c r="L19" s="2">
        <v>6702169884350</v>
      </c>
      <c r="M19" s="2">
        <v>502302</v>
      </c>
      <c r="N19" s="2" t="s">
        <v>6176</v>
      </c>
      <c r="O19" s="2">
        <v>1.1065000000000001E-4</v>
      </c>
      <c r="P19" s="2">
        <v>184550304</v>
      </c>
      <c r="Q19" s="2">
        <v>151</v>
      </c>
    </row>
    <row r="20" spans="1:17" x14ac:dyDescent="0.25">
      <c r="A20" s="1">
        <v>43590</v>
      </c>
      <c r="B20" s="2" t="s">
        <v>6177</v>
      </c>
      <c r="C20" s="2" t="s">
        <v>6178</v>
      </c>
      <c r="D20" s="2">
        <v>330603</v>
      </c>
      <c r="E20" s="2" t="s">
        <v>6179</v>
      </c>
      <c r="F20" s="2" t="s">
        <v>6180</v>
      </c>
      <c r="G20" s="2" t="s">
        <v>6181</v>
      </c>
      <c r="H20" s="2">
        <v>77216446711.699997</v>
      </c>
      <c r="I20" s="2">
        <v>1612.5</v>
      </c>
      <c r="J20" s="2">
        <v>62.872303969999997</v>
      </c>
      <c r="K20" s="2">
        <v>617825</v>
      </c>
      <c r="L20" s="2">
        <v>6702169884350</v>
      </c>
      <c r="M20" s="2">
        <v>429635</v>
      </c>
      <c r="N20" s="2" t="s">
        <v>6182</v>
      </c>
      <c r="O20" s="2">
        <v>9.7659999999999997E-5</v>
      </c>
      <c r="P20" s="2">
        <v>154323756</v>
      </c>
      <c r="Q20" s="2">
        <v>129</v>
      </c>
    </row>
    <row r="21" spans="1:17" x14ac:dyDescent="0.25">
      <c r="A21" s="1">
        <v>43589</v>
      </c>
      <c r="B21" s="2" t="s">
        <v>6183</v>
      </c>
      <c r="C21" s="2" t="s">
        <v>6184</v>
      </c>
      <c r="D21" s="2">
        <v>355778</v>
      </c>
      <c r="E21" s="2" t="s">
        <v>6185</v>
      </c>
      <c r="F21" s="2" t="s">
        <v>6186</v>
      </c>
      <c r="G21" s="2" t="s">
        <v>6187</v>
      </c>
      <c r="H21" s="2">
        <v>77162430750.5</v>
      </c>
      <c r="I21" s="2">
        <v>1650</v>
      </c>
      <c r="J21" s="2">
        <v>60.629154409999998</v>
      </c>
      <c r="K21" s="2">
        <v>660283</v>
      </c>
      <c r="L21" s="2">
        <v>6554050172250</v>
      </c>
      <c r="M21" s="2">
        <v>397125</v>
      </c>
      <c r="N21" s="2" t="s">
        <v>6188</v>
      </c>
      <c r="O21" s="2">
        <v>9.3090000000000005E-5</v>
      </c>
      <c r="P21" s="2">
        <v>156785808</v>
      </c>
      <c r="Q21" s="2">
        <v>132</v>
      </c>
    </row>
    <row r="22" spans="1:17" x14ac:dyDescent="0.25">
      <c r="A22" s="1">
        <v>43588</v>
      </c>
      <c r="B22" s="2" t="s">
        <v>6189</v>
      </c>
      <c r="C22" s="2" t="s">
        <v>6190</v>
      </c>
      <c r="D22" s="2">
        <v>382880</v>
      </c>
      <c r="E22" s="2" t="s">
        <v>6191</v>
      </c>
      <c r="F22" s="2" t="s">
        <v>6192</v>
      </c>
      <c r="G22" s="2" t="s">
        <v>6193</v>
      </c>
      <c r="H22" s="2">
        <v>77109562721</v>
      </c>
      <c r="I22" s="2">
        <v>1900</v>
      </c>
      <c r="J22" s="2">
        <v>81.272250850000006</v>
      </c>
      <c r="K22" s="2">
        <v>803538</v>
      </c>
      <c r="L22" s="2">
        <v>6353030562980</v>
      </c>
      <c r="M22" s="2">
        <v>516679</v>
      </c>
      <c r="N22" s="2" t="s">
        <v>6194</v>
      </c>
      <c r="O22" s="2">
        <v>1.13E-4</v>
      </c>
      <c r="P22" s="2">
        <v>186686398</v>
      </c>
      <c r="Q22" s="2">
        <v>152</v>
      </c>
    </row>
    <row r="23" spans="1:17" x14ac:dyDescent="0.25">
      <c r="A23" s="1">
        <v>43587</v>
      </c>
      <c r="B23" s="2" t="s">
        <v>6195</v>
      </c>
      <c r="C23" s="2" t="s">
        <v>6196</v>
      </c>
      <c r="D23" s="2">
        <v>452462</v>
      </c>
      <c r="E23" s="2" t="s">
        <v>6197</v>
      </c>
      <c r="F23" s="2" t="s">
        <v>6198</v>
      </c>
      <c r="G23" s="2" t="s">
        <v>6199</v>
      </c>
      <c r="H23" s="2">
        <v>77023734624.199997</v>
      </c>
      <c r="I23" s="2">
        <v>2300</v>
      </c>
      <c r="J23" s="2">
        <v>64.710815049999994</v>
      </c>
      <c r="K23" s="2">
        <v>790965</v>
      </c>
      <c r="L23" s="2">
        <v>6353030562980</v>
      </c>
      <c r="M23" s="2">
        <v>477778</v>
      </c>
      <c r="N23" s="2" t="s">
        <v>6200</v>
      </c>
      <c r="O23" s="2">
        <v>7.2570000000000005E-5</v>
      </c>
      <c r="P23" s="2">
        <v>202558518</v>
      </c>
      <c r="Q23" s="2">
        <v>184</v>
      </c>
    </row>
    <row r="24" spans="1:17" x14ac:dyDescent="0.25">
      <c r="A24" s="1">
        <v>43586</v>
      </c>
      <c r="B24" s="2" t="s">
        <v>6201</v>
      </c>
      <c r="C24" s="2" t="s">
        <v>6202</v>
      </c>
      <c r="D24" s="2">
        <v>439378</v>
      </c>
      <c r="E24" s="2" t="s">
        <v>6203</v>
      </c>
      <c r="F24" s="2" t="s">
        <v>6204</v>
      </c>
      <c r="G24" s="2" t="s">
        <v>6205</v>
      </c>
      <c r="H24" s="2">
        <v>77003787673.899994</v>
      </c>
      <c r="I24" s="2">
        <v>2137.5</v>
      </c>
      <c r="J24" s="2">
        <v>65.625218930000003</v>
      </c>
      <c r="K24" s="2">
        <v>765613</v>
      </c>
      <c r="L24" s="2">
        <v>6353030562980</v>
      </c>
      <c r="M24" s="2">
        <v>443103</v>
      </c>
      <c r="N24" s="2" t="s">
        <v>6206</v>
      </c>
      <c r="O24" s="2">
        <v>8.365E-5</v>
      </c>
      <c r="P24" s="2">
        <v>192701821</v>
      </c>
      <c r="Q24" s="2">
        <v>171</v>
      </c>
    </row>
    <row r="25" spans="1:17" x14ac:dyDescent="0.25">
      <c r="A25" s="1">
        <v>43585</v>
      </c>
      <c r="B25" s="2" t="s">
        <v>0</v>
      </c>
      <c r="C25" s="2" t="s">
        <v>1</v>
      </c>
      <c r="D25" s="2">
        <v>346346</v>
      </c>
      <c r="E25" s="2" t="s">
        <v>2</v>
      </c>
      <c r="F25" s="2" t="s">
        <v>3</v>
      </c>
      <c r="G25" s="2" t="s">
        <v>4</v>
      </c>
      <c r="H25" s="2">
        <v>77220892857.199997</v>
      </c>
      <c r="I25" s="2">
        <v>1750</v>
      </c>
      <c r="J25" s="2">
        <v>85.484634650000004</v>
      </c>
      <c r="K25" s="2">
        <v>837464</v>
      </c>
      <c r="L25" s="2">
        <v>6353030562980</v>
      </c>
      <c r="M25" s="2">
        <v>527994</v>
      </c>
      <c r="N25" s="2" t="s">
        <v>5</v>
      </c>
      <c r="O25" s="2">
        <v>1.248E-4</v>
      </c>
      <c r="P25" s="2">
        <v>181309920</v>
      </c>
      <c r="Q25" s="2">
        <v>140</v>
      </c>
    </row>
    <row r="26" spans="1:17" x14ac:dyDescent="0.25">
      <c r="A26" s="1">
        <v>43584</v>
      </c>
      <c r="B26" s="2" t="s">
        <v>6</v>
      </c>
      <c r="C26" s="2" t="s">
        <v>7</v>
      </c>
      <c r="D26" s="2">
        <v>363044</v>
      </c>
      <c r="E26" s="2" t="s">
        <v>8</v>
      </c>
      <c r="F26" s="2" t="s">
        <v>9</v>
      </c>
      <c r="G26" s="2" t="s">
        <v>10</v>
      </c>
      <c r="H26" s="2">
        <v>77169135910.899994</v>
      </c>
      <c r="I26" s="2">
        <v>2037.5</v>
      </c>
      <c r="J26" s="2">
        <v>70.954699520000005</v>
      </c>
      <c r="K26" s="2">
        <v>793479</v>
      </c>
      <c r="L26" s="2">
        <v>6353030562980</v>
      </c>
      <c r="M26" s="2">
        <v>476389</v>
      </c>
      <c r="N26" s="2" t="s">
        <v>11</v>
      </c>
      <c r="O26" s="2">
        <v>1.03E-4</v>
      </c>
      <c r="P26" s="2">
        <v>196132621</v>
      </c>
      <c r="Q26" s="2">
        <v>163</v>
      </c>
    </row>
    <row r="27" spans="1:17" x14ac:dyDescent="0.25">
      <c r="A27" s="1">
        <v>43583</v>
      </c>
      <c r="B27" s="2" t="s">
        <v>12</v>
      </c>
      <c r="C27" s="2" t="s">
        <v>13</v>
      </c>
      <c r="D27" s="2">
        <v>383128</v>
      </c>
      <c r="E27" s="2" t="s">
        <v>14</v>
      </c>
      <c r="F27" s="2" t="s">
        <v>15</v>
      </c>
      <c r="G27" s="2" t="s">
        <v>16</v>
      </c>
      <c r="H27" s="2">
        <v>77197136109.699997</v>
      </c>
      <c r="I27" s="2">
        <v>2037.5</v>
      </c>
      <c r="J27" s="2">
        <v>47.953930389999996</v>
      </c>
      <c r="K27" s="2">
        <v>594401</v>
      </c>
      <c r="L27" s="2">
        <v>6353030562980</v>
      </c>
      <c r="M27" s="2">
        <v>354273</v>
      </c>
      <c r="N27" s="2" t="s">
        <v>17</v>
      </c>
      <c r="O27" s="2">
        <v>5.1199999999999998E-5</v>
      </c>
      <c r="P27" s="2">
        <v>159344618</v>
      </c>
      <c r="Q27" s="2">
        <v>163</v>
      </c>
    </row>
    <row r="28" spans="1:17" x14ac:dyDescent="0.25">
      <c r="A28" s="1">
        <v>43582</v>
      </c>
      <c r="B28" s="2" t="s">
        <v>18</v>
      </c>
      <c r="C28" s="2" t="s">
        <v>19</v>
      </c>
      <c r="D28" s="2">
        <v>358871</v>
      </c>
      <c r="E28" s="2" t="s">
        <v>20</v>
      </c>
      <c r="F28" s="2" t="s">
        <v>21</v>
      </c>
      <c r="G28" s="2" t="s">
        <v>22</v>
      </c>
      <c r="H28" s="2">
        <v>77182269379.300003</v>
      </c>
      <c r="I28" s="2">
        <v>1712.5</v>
      </c>
      <c r="J28" s="2">
        <v>54.420927249999998</v>
      </c>
      <c r="K28" s="2">
        <v>614086</v>
      </c>
      <c r="L28" s="2">
        <v>6353030562980</v>
      </c>
      <c r="M28" s="2">
        <v>380412</v>
      </c>
      <c r="N28" s="2" t="s">
        <v>23</v>
      </c>
      <c r="O28" s="2">
        <v>8.2399999999999997E-5</v>
      </c>
      <c r="P28" s="2">
        <v>160332531</v>
      </c>
      <c r="Q28" s="2">
        <v>137</v>
      </c>
    </row>
    <row r="29" spans="1:17" x14ac:dyDescent="0.25">
      <c r="A29" s="1">
        <v>43581</v>
      </c>
      <c r="B29" s="2" t="s">
        <v>24</v>
      </c>
      <c r="C29" s="2" t="s">
        <v>25</v>
      </c>
      <c r="D29" s="2">
        <v>381058</v>
      </c>
      <c r="E29" s="2" t="s">
        <v>26</v>
      </c>
      <c r="F29" s="2" t="s">
        <v>27</v>
      </c>
      <c r="G29" s="2" t="s">
        <v>28</v>
      </c>
      <c r="H29" s="2">
        <v>77187666250.699997</v>
      </c>
      <c r="I29" s="2">
        <v>1887.5</v>
      </c>
      <c r="J29" s="2">
        <v>91.447448989999998</v>
      </c>
      <c r="K29" s="2">
        <v>769122</v>
      </c>
      <c r="L29" s="2">
        <v>6353030562980</v>
      </c>
      <c r="M29" s="2">
        <v>497535</v>
      </c>
      <c r="N29" s="2" t="s">
        <v>29</v>
      </c>
      <c r="O29" s="2">
        <v>1.4477000000000001E-4</v>
      </c>
      <c r="P29" s="2">
        <v>189579097</v>
      </c>
      <c r="Q29" s="2">
        <v>151</v>
      </c>
    </row>
    <row r="30" spans="1:17" x14ac:dyDescent="0.25">
      <c r="A30" s="1">
        <v>43580</v>
      </c>
      <c r="B30" s="2" t="s">
        <v>30</v>
      </c>
      <c r="C30" s="2" t="s">
        <v>31</v>
      </c>
      <c r="D30" s="2">
        <v>383946</v>
      </c>
      <c r="E30" s="2" t="s">
        <v>32</v>
      </c>
      <c r="F30" s="2" t="s">
        <v>33</v>
      </c>
      <c r="G30" s="2" t="s">
        <v>34</v>
      </c>
      <c r="H30" s="2">
        <v>77263667314.100006</v>
      </c>
      <c r="I30" s="2">
        <v>1787.5</v>
      </c>
      <c r="J30" s="2">
        <v>94.300875880000007</v>
      </c>
      <c r="K30" s="2">
        <v>754032</v>
      </c>
      <c r="L30" s="2">
        <v>6353030562980</v>
      </c>
      <c r="M30" s="2">
        <v>472342</v>
      </c>
      <c r="N30" s="2" t="s">
        <v>35</v>
      </c>
      <c r="O30" s="2">
        <v>1.5300000000000001E-4</v>
      </c>
      <c r="P30" s="2">
        <v>174390766</v>
      </c>
      <c r="Q30" s="2">
        <v>143</v>
      </c>
    </row>
    <row r="31" spans="1:17" x14ac:dyDescent="0.25">
      <c r="A31" s="1">
        <v>43579</v>
      </c>
      <c r="B31" s="2" t="s">
        <v>36</v>
      </c>
      <c r="C31" s="2" t="s">
        <v>37</v>
      </c>
      <c r="D31" s="2">
        <v>404116</v>
      </c>
      <c r="E31" s="2" t="s">
        <v>38</v>
      </c>
      <c r="F31" s="2" t="s">
        <v>39</v>
      </c>
      <c r="G31" s="2" t="s">
        <v>40</v>
      </c>
      <c r="H31" s="2">
        <v>77307444328.399994</v>
      </c>
      <c r="I31" s="2">
        <v>2037.5</v>
      </c>
      <c r="J31" s="2">
        <v>130.67492641000001</v>
      </c>
      <c r="K31" s="2">
        <v>880292</v>
      </c>
      <c r="L31" s="2">
        <v>6353030562980</v>
      </c>
      <c r="M31" s="2">
        <v>548884</v>
      </c>
      <c r="N31" s="2" t="s">
        <v>41</v>
      </c>
      <c r="O31" s="2">
        <v>1.9336000000000001E-4</v>
      </c>
      <c r="P31" s="2">
        <v>201209815</v>
      </c>
      <c r="Q31" s="2">
        <v>163</v>
      </c>
    </row>
    <row r="32" spans="1:17" x14ac:dyDescent="0.25">
      <c r="A32" s="1">
        <v>43578</v>
      </c>
      <c r="B32" s="2" t="s">
        <v>42</v>
      </c>
      <c r="C32" s="2" t="s">
        <v>43</v>
      </c>
      <c r="D32" s="2">
        <v>311637</v>
      </c>
      <c r="E32" s="2" t="s">
        <v>44</v>
      </c>
      <c r="F32" s="2" t="s">
        <v>45</v>
      </c>
      <c r="G32" s="2" t="s">
        <v>46</v>
      </c>
      <c r="H32" s="2">
        <v>77379070798.300003</v>
      </c>
      <c r="I32" s="2">
        <v>1450</v>
      </c>
      <c r="J32" s="2">
        <v>96.481210349999998</v>
      </c>
      <c r="K32" s="2">
        <v>715618</v>
      </c>
      <c r="L32" s="2">
        <v>6353030562980</v>
      </c>
      <c r="M32" s="2">
        <v>448279</v>
      </c>
      <c r="N32" s="2" t="s">
        <v>47</v>
      </c>
      <c r="O32" s="2">
        <v>1.6820999999999999E-4</v>
      </c>
      <c r="P32" s="2">
        <v>145669017</v>
      </c>
      <c r="Q32" s="2">
        <v>116</v>
      </c>
    </row>
    <row r="33" spans="1:17" x14ac:dyDescent="0.25">
      <c r="A33" s="1">
        <v>43577</v>
      </c>
      <c r="B33" s="2" t="s">
        <v>48</v>
      </c>
      <c r="C33" s="2" t="s">
        <v>49</v>
      </c>
      <c r="D33" s="2">
        <v>341880</v>
      </c>
      <c r="E33" s="2" t="s">
        <v>50</v>
      </c>
      <c r="F33" s="2" t="s">
        <v>51</v>
      </c>
      <c r="G33" s="2" t="s">
        <v>52</v>
      </c>
      <c r="H33" s="2">
        <v>77288539226.199997</v>
      </c>
      <c r="I33" s="2">
        <v>1675</v>
      </c>
      <c r="J33" s="2">
        <v>70.126933149999999</v>
      </c>
      <c r="K33" s="2">
        <v>645237</v>
      </c>
      <c r="L33" s="2">
        <v>6353030562980</v>
      </c>
      <c r="M33" s="2">
        <v>412561</v>
      </c>
      <c r="N33" s="2" t="s">
        <v>53</v>
      </c>
      <c r="O33" s="2">
        <v>1.1752E-4</v>
      </c>
      <c r="P33" s="2">
        <v>153057898</v>
      </c>
      <c r="Q33" s="2">
        <v>134</v>
      </c>
    </row>
    <row r="34" spans="1:17" x14ac:dyDescent="0.25">
      <c r="A34" s="1">
        <v>43576</v>
      </c>
      <c r="B34" s="2" t="s">
        <v>54</v>
      </c>
      <c r="C34" s="2" t="s">
        <v>55</v>
      </c>
      <c r="D34" s="2">
        <v>390573</v>
      </c>
      <c r="E34" s="2" t="s">
        <v>56</v>
      </c>
      <c r="F34" s="2" t="s">
        <v>57</v>
      </c>
      <c r="G34" s="2" t="s">
        <v>58</v>
      </c>
      <c r="H34" s="2">
        <v>77249784628.300003</v>
      </c>
      <c r="I34" s="2">
        <v>2025</v>
      </c>
      <c r="J34" s="2">
        <v>50.31279868</v>
      </c>
      <c r="K34" s="2">
        <v>683512</v>
      </c>
      <c r="L34" s="2">
        <v>6357721118110</v>
      </c>
      <c r="M34" s="2">
        <v>344820</v>
      </c>
      <c r="N34" s="2" t="s">
        <v>59</v>
      </c>
      <c r="O34" s="2">
        <v>5.1600000000000001E-5</v>
      </c>
      <c r="P34" s="2">
        <v>185073726</v>
      </c>
      <c r="Q34" s="2">
        <v>162</v>
      </c>
    </row>
    <row r="35" spans="1:17" x14ac:dyDescent="0.25">
      <c r="A35" s="1">
        <v>43575</v>
      </c>
      <c r="B35" s="2" t="s">
        <v>60</v>
      </c>
      <c r="C35" s="2" t="s">
        <v>61</v>
      </c>
      <c r="D35" s="2">
        <v>319709</v>
      </c>
      <c r="E35" s="2" t="s">
        <v>62</v>
      </c>
      <c r="F35" s="2" t="s">
        <v>63</v>
      </c>
      <c r="G35" s="2" t="s">
        <v>64</v>
      </c>
      <c r="H35" s="2">
        <v>77243006711.800003</v>
      </c>
      <c r="I35" s="2">
        <v>1637.5</v>
      </c>
      <c r="J35" s="2">
        <v>58.091038140000002</v>
      </c>
      <c r="K35" s="2">
        <v>689000</v>
      </c>
      <c r="L35" s="2">
        <v>6393023717200</v>
      </c>
      <c r="M35" s="2">
        <v>373105</v>
      </c>
      <c r="N35" s="2" t="s">
        <v>65</v>
      </c>
      <c r="O35" s="2">
        <v>1.014E-4</v>
      </c>
      <c r="P35" s="2">
        <v>162512899</v>
      </c>
      <c r="Q35" s="2">
        <v>131</v>
      </c>
    </row>
    <row r="36" spans="1:17" x14ac:dyDescent="0.25">
      <c r="A36" s="1">
        <v>43574</v>
      </c>
      <c r="B36" s="2" t="s">
        <v>66</v>
      </c>
      <c r="C36" s="2" t="s">
        <v>67</v>
      </c>
      <c r="D36" s="2">
        <v>361976</v>
      </c>
      <c r="E36" s="2" t="s">
        <v>68</v>
      </c>
      <c r="F36" s="2" t="s">
        <v>69</v>
      </c>
      <c r="G36" s="2" t="s">
        <v>70</v>
      </c>
      <c r="H36" s="2">
        <v>77221277844.199997</v>
      </c>
      <c r="I36" s="2">
        <v>1900</v>
      </c>
      <c r="J36" s="2">
        <v>78.433017250000006</v>
      </c>
      <c r="K36" s="2">
        <v>791185</v>
      </c>
      <c r="L36" s="2">
        <v>6393023717200</v>
      </c>
      <c r="M36" s="2">
        <v>510817</v>
      </c>
      <c r="N36" s="2" t="s">
        <v>71</v>
      </c>
      <c r="O36" s="2">
        <v>1.1232E-4</v>
      </c>
      <c r="P36" s="2">
        <v>184297746</v>
      </c>
      <c r="Q36" s="2">
        <v>152</v>
      </c>
    </row>
    <row r="37" spans="1:17" x14ac:dyDescent="0.25">
      <c r="A37" s="1">
        <v>43573</v>
      </c>
      <c r="B37" s="2" t="s">
        <v>72</v>
      </c>
      <c r="C37" s="2" t="s">
        <v>73</v>
      </c>
      <c r="D37" s="2">
        <v>382832</v>
      </c>
      <c r="E37" s="2" t="s">
        <v>74</v>
      </c>
      <c r="F37" s="2" t="s">
        <v>75</v>
      </c>
      <c r="G37" s="2" t="s">
        <v>76</v>
      </c>
      <c r="H37" s="2">
        <v>77017021408</v>
      </c>
      <c r="I37" s="2">
        <v>1862.5</v>
      </c>
      <c r="J37" s="2">
        <v>72.419586600000002</v>
      </c>
      <c r="K37" s="2">
        <v>744216</v>
      </c>
      <c r="L37" s="2">
        <v>6393023717200</v>
      </c>
      <c r="M37" s="2">
        <v>452729</v>
      </c>
      <c r="N37" s="2" t="s">
        <v>77</v>
      </c>
      <c r="O37" s="2">
        <v>1.03E-4</v>
      </c>
      <c r="P37" s="2">
        <v>181017418</v>
      </c>
      <c r="Q37" s="2">
        <v>149</v>
      </c>
    </row>
    <row r="38" spans="1:17" x14ac:dyDescent="0.25">
      <c r="A38" s="1">
        <v>43572</v>
      </c>
      <c r="B38" s="2" t="s">
        <v>78</v>
      </c>
      <c r="C38" s="2" t="s">
        <v>79</v>
      </c>
      <c r="D38" s="2">
        <v>350599</v>
      </c>
      <c r="E38" s="2" t="s">
        <v>80</v>
      </c>
      <c r="F38" s="2" t="s">
        <v>81</v>
      </c>
      <c r="G38" s="2" t="s">
        <v>82</v>
      </c>
      <c r="H38" s="2">
        <v>76981728496.899994</v>
      </c>
      <c r="I38" s="2">
        <v>1725</v>
      </c>
      <c r="J38" s="2">
        <v>77.149809050000002</v>
      </c>
      <c r="K38" s="2">
        <v>748396</v>
      </c>
      <c r="L38" s="2">
        <v>6393023717200</v>
      </c>
      <c r="M38" s="2">
        <v>442268</v>
      </c>
      <c r="N38" s="2" t="s">
        <v>83</v>
      </c>
      <c r="O38" s="2">
        <v>1.1529E-4</v>
      </c>
      <c r="P38" s="2">
        <v>169654486</v>
      </c>
      <c r="Q38" s="2">
        <v>138</v>
      </c>
    </row>
    <row r="39" spans="1:17" x14ac:dyDescent="0.25">
      <c r="A39" s="1">
        <v>43571</v>
      </c>
      <c r="B39" s="2" t="s">
        <v>84</v>
      </c>
      <c r="C39" s="2" t="s">
        <v>85</v>
      </c>
      <c r="D39" s="2">
        <v>358372</v>
      </c>
      <c r="E39" s="2" t="s">
        <v>86</v>
      </c>
      <c r="F39" s="2" t="s">
        <v>87</v>
      </c>
      <c r="G39" s="2" t="s">
        <v>88</v>
      </c>
      <c r="H39" s="2">
        <v>76924017714.300003</v>
      </c>
      <c r="I39" s="2">
        <v>1812.5</v>
      </c>
      <c r="J39" s="2">
        <v>76.568693679999996</v>
      </c>
      <c r="K39" s="2">
        <v>772132</v>
      </c>
      <c r="L39" s="2">
        <v>6393023717200</v>
      </c>
      <c r="M39" s="2">
        <v>450371</v>
      </c>
      <c r="N39" s="2" t="s">
        <v>89</v>
      </c>
      <c r="O39" s="2">
        <v>1.0478E-4</v>
      </c>
      <c r="P39" s="2">
        <v>181632062</v>
      </c>
      <c r="Q39" s="2">
        <v>145</v>
      </c>
    </row>
    <row r="40" spans="1:17" x14ac:dyDescent="0.25">
      <c r="A40" s="1">
        <v>43570</v>
      </c>
      <c r="B40" s="2" t="s">
        <v>90</v>
      </c>
      <c r="C40" s="2" t="s">
        <v>91</v>
      </c>
      <c r="D40" s="2">
        <v>381328</v>
      </c>
      <c r="E40" s="2" t="s">
        <v>92</v>
      </c>
      <c r="F40" s="2" t="s">
        <v>93</v>
      </c>
      <c r="G40" s="2" t="s">
        <v>94</v>
      </c>
      <c r="H40" s="2">
        <v>76871321861.699997</v>
      </c>
      <c r="I40" s="2">
        <v>1812.5</v>
      </c>
      <c r="J40" s="2">
        <v>78.969722469999994</v>
      </c>
      <c r="K40" s="2">
        <v>775828</v>
      </c>
      <c r="L40" s="2">
        <v>6393023717200</v>
      </c>
      <c r="M40" s="2">
        <v>454105</v>
      </c>
      <c r="N40" s="2" t="s">
        <v>95</v>
      </c>
      <c r="O40" s="2">
        <v>1E-4</v>
      </c>
      <c r="P40" s="2">
        <v>177935171</v>
      </c>
      <c r="Q40" s="2">
        <v>145</v>
      </c>
    </row>
    <row r="41" spans="1:17" x14ac:dyDescent="0.25">
      <c r="A41" s="1">
        <v>43569</v>
      </c>
      <c r="B41" s="2" t="s">
        <v>96</v>
      </c>
      <c r="C41" s="2" t="s">
        <v>97</v>
      </c>
      <c r="D41" s="2">
        <v>336908</v>
      </c>
      <c r="E41" s="2" t="s">
        <v>98</v>
      </c>
      <c r="F41" s="2" t="s">
        <v>99</v>
      </c>
      <c r="G41" s="2" t="s">
        <v>100</v>
      </c>
      <c r="H41" s="2">
        <v>76884030345.100006</v>
      </c>
      <c r="I41" s="2">
        <v>1525</v>
      </c>
      <c r="J41" s="2">
        <v>57.423738759999999</v>
      </c>
      <c r="K41" s="2">
        <v>594261</v>
      </c>
      <c r="L41" s="2">
        <v>6393023717200</v>
      </c>
      <c r="M41" s="2">
        <v>332537</v>
      </c>
      <c r="N41" s="2" t="s">
        <v>101</v>
      </c>
      <c r="O41" s="2">
        <v>7.1000000000000005E-5</v>
      </c>
      <c r="P41" s="2">
        <v>145944499</v>
      </c>
      <c r="Q41" s="2">
        <v>122</v>
      </c>
    </row>
    <row r="42" spans="1:17" x14ac:dyDescent="0.25">
      <c r="A42" s="1">
        <v>43568</v>
      </c>
      <c r="B42" s="2" t="s">
        <v>102</v>
      </c>
      <c r="C42" s="2" t="s">
        <v>103</v>
      </c>
      <c r="D42" s="2">
        <v>366941</v>
      </c>
      <c r="E42" s="2" t="s">
        <v>104</v>
      </c>
      <c r="F42" s="2" t="s">
        <v>105</v>
      </c>
      <c r="G42" s="2" t="s">
        <v>106</v>
      </c>
      <c r="H42" s="2">
        <v>76941968731.899994</v>
      </c>
      <c r="I42" s="2">
        <v>1687.5</v>
      </c>
      <c r="J42" s="2">
        <v>66.221193690000007</v>
      </c>
      <c r="K42" s="2">
        <v>595857</v>
      </c>
      <c r="L42" s="2">
        <v>6393023717200</v>
      </c>
      <c r="M42" s="2">
        <v>356167</v>
      </c>
      <c r="N42" s="2" t="s">
        <v>107</v>
      </c>
      <c r="O42" s="2">
        <v>5.6499999999999998E-5</v>
      </c>
      <c r="P42" s="2">
        <v>149503268</v>
      </c>
      <c r="Q42" s="2">
        <v>135</v>
      </c>
    </row>
    <row r="43" spans="1:17" x14ac:dyDescent="0.25">
      <c r="A43" s="1">
        <v>43567</v>
      </c>
      <c r="B43" s="2" t="s">
        <v>108</v>
      </c>
      <c r="C43" s="2" t="s">
        <v>109</v>
      </c>
      <c r="D43" s="2">
        <v>376616</v>
      </c>
      <c r="E43" s="2" t="s">
        <v>110</v>
      </c>
      <c r="F43" s="2" t="s">
        <v>111</v>
      </c>
      <c r="G43" s="2" t="s">
        <v>112</v>
      </c>
      <c r="H43" s="2">
        <v>76916851658.399994</v>
      </c>
      <c r="I43" s="2">
        <v>1887.5</v>
      </c>
      <c r="J43" s="2">
        <v>100.56571481</v>
      </c>
      <c r="K43" s="2">
        <v>772977</v>
      </c>
      <c r="L43" s="2">
        <v>6393023717200</v>
      </c>
      <c r="M43" s="2">
        <v>476858</v>
      </c>
      <c r="N43" s="2" t="s">
        <v>113</v>
      </c>
      <c r="O43" s="2">
        <v>1.5259E-4</v>
      </c>
      <c r="P43" s="2">
        <v>178823019</v>
      </c>
      <c r="Q43" s="2">
        <v>151</v>
      </c>
    </row>
    <row r="44" spans="1:17" x14ac:dyDescent="0.25">
      <c r="A44" s="1">
        <v>43566</v>
      </c>
      <c r="B44" s="2" t="s">
        <v>114</v>
      </c>
      <c r="C44" s="2" t="s">
        <v>115</v>
      </c>
      <c r="D44" s="2">
        <v>402645</v>
      </c>
      <c r="E44" s="2" t="s">
        <v>116</v>
      </c>
      <c r="F44" s="2" t="s">
        <v>117</v>
      </c>
      <c r="G44" s="2" t="s">
        <v>118</v>
      </c>
      <c r="H44" s="2">
        <v>76866019589.199997</v>
      </c>
      <c r="I44" s="2">
        <v>1962.5</v>
      </c>
      <c r="J44" s="2">
        <v>115.28509796</v>
      </c>
      <c r="K44" s="2">
        <v>813445</v>
      </c>
      <c r="L44" s="2">
        <v>6393023717200</v>
      </c>
      <c r="M44" s="2">
        <v>505871</v>
      </c>
      <c r="N44" s="2" t="s">
        <v>119</v>
      </c>
      <c r="O44" s="2">
        <v>1.6522999999999999E-4</v>
      </c>
      <c r="P44" s="2">
        <v>188665777</v>
      </c>
      <c r="Q44" s="2">
        <v>157</v>
      </c>
    </row>
    <row r="45" spans="1:17" x14ac:dyDescent="0.25">
      <c r="A45" s="1">
        <v>43565</v>
      </c>
      <c r="B45" s="2" t="s">
        <v>120</v>
      </c>
      <c r="C45" s="2" t="s">
        <v>121</v>
      </c>
      <c r="D45" s="2">
        <v>396353</v>
      </c>
      <c r="E45" s="2" t="s">
        <v>122</v>
      </c>
      <c r="F45" s="2" t="s">
        <v>123</v>
      </c>
      <c r="G45" s="2" t="s">
        <v>124</v>
      </c>
      <c r="H45" s="2">
        <v>76875181145.600006</v>
      </c>
      <c r="I45" s="2">
        <v>1850</v>
      </c>
      <c r="J45" s="2">
        <v>111.78539463</v>
      </c>
      <c r="K45" s="2">
        <v>779775</v>
      </c>
      <c r="L45" s="2">
        <v>6393023717200</v>
      </c>
      <c r="M45" s="2">
        <v>482581</v>
      </c>
      <c r="N45" s="2" t="s">
        <v>125</v>
      </c>
      <c r="O45" s="2">
        <v>1.6200000000000001E-4</v>
      </c>
      <c r="P45" s="2">
        <v>179623887</v>
      </c>
      <c r="Q45" s="2">
        <v>148</v>
      </c>
    </row>
    <row r="46" spans="1:17" x14ac:dyDescent="0.25">
      <c r="A46" s="1">
        <v>43564</v>
      </c>
      <c r="B46" s="2" t="s">
        <v>126</v>
      </c>
      <c r="C46" s="2" t="s">
        <v>127</v>
      </c>
      <c r="D46" s="2">
        <v>345939</v>
      </c>
      <c r="E46" s="2" t="s">
        <v>128</v>
      </c>
      <c r="F46" s="2" t="s">
        <v>129</v>
      </c>
      <c r="G46" s="2" t="s">
        <v>130</v>
      </c>
      <c r="H46" s="2">
        <v>76795588685.399994</v>
      </c>
      <c r="I46" s="2">
        <v>1650</v>
      </c>
      <c r="J46" s="2">
        <v>114.92556114</v>
      </c>
      <c r="K46" s="2">
        <v>777623</v>
      </c>
      <c r="L46" s="2">
        <v>6393023717200</v>
      </c>
      <c r="M46" s="2">
        <v>464341</v>
      </c>
      <c r="N46" s="2" t="s">
        <v>131</v>
      </c>
      <c r="O46" s="2">
        <v>1.8175999999999999E-4</v>
      </c>
      <c r="P46" s="2">
        <v>165163499</v>
      </c>
      <c r="Q46" s="2">
        <v>132</v>
      </c>
    </row>
    <row r="47" spans="1:17" x14ac:dyDescent="0.25">
      <c r="A47" s="1">
        <v>43563</v>
      </c>
      <c r="B47" s="2" t="s">
        <v>132</v>
      </c>
      <c r="C47" s="2" t="s">
        <v>133</v>
      </c>
      <c r="D47" s="2">
        <v>372269</v>
      </c>
      <c r="E47" s="2" t="s">
        <v>134</v>
      </c>
      <c r="F47" s="2" t="s">
        <v>135</v>
      </c>
      <c r="G47" s="2" t="s">
        <v>136</v>
      </c>
      <c r="H47" s="2">
        <v>76747818147.800003</v>
      </c>
      <c r="I47" s="2">
        <v>1850</v>
      </c>
      <c r="J47" s="2">
        <v>130.54444043000001</v>
      </c>
      <c r="K47" s="2">
        <v>776683</v>
      </c>
      <c r="L47" s="2">
        <v>6393023717200</v>
      </c>
      <c r="M47" s="2">
        <v>464932</v>
      </c>
      <c r="N47" s="2" t="s">
        <v>137</v>
      </c>
      <c r="O47" s="2">
        <v>2.0526E-4</v>
      </c>
      <c r="P47" s="2">
        <v>180318925</v>
      </c>
      <c r="Q47" s="2">
        <v>148</v>
      </c>
    </row>
    <row r="48" spans="1:17" x14ac:dyDescent="0.25">
      <c r="A48" s="1">
        <v>43562</v>
      </c>
      <c r="B48" s="2" t="s">
        <v>138</v>
      </c>
      <c r="C48" s="2" t="s">
        <v>139</v>
      </c>
      <c r="D48" s="2">
        <v>350490</v>
      </c>
      <c r="E48" s="2" t="s">
        <v>140</v>
      </c>
      <c r="F48" s="2" t="s">
        <v>141</v>
      </c>
      <c r="G48" s="2" t="s">
        <v>142</v>
      </c>
      <c r="H48" s="2">
        <v>76669413397.800003</v>
      </c>
      <c r="I48" s="2">
        <v>1762.5</v>
      </c>
      <c r="J48" s="2">
        <v>85.516444809999996</v>
      </c>
      <c r="K48" s="2">
        <v>621932</v>
      </c>
      <c r="L48" s="2">
        <v>6393023717200</v>
      </c>
      <c r="M48" s="2">
        <v>348526</v>
      </c>
      <c r="N48" s="2" t="s">
        <v>143</v>
      </c>
      <c r="O48" s="2">
        <v>1.1865E-4</v>
      </c>
      <c r="P48" s="2">
        <v>160584459</v>
      </c>
      <c r="Q48" s="2">
        <v>141</v>
      </c>
    </row>
    <row r="49" spans="1:17" x14ac:dyDescent="0.25">
      <c r="A49" s="1">
        <v>43561</v>
      </c>
      <c r="B49" s="2" t="s">
        <v>144</v>
      </c>
      <c r="C49" s="2" t="s">
        <v>145</v>
      </c>
      <c r="D49" s="2">
        <v>359430</v>
      </c>
      <c r="E49" s="2" t="s">
        <v>146</v>
      </c>
      <c r="F49" s="2" t="s">
        <v>147</v>
      </c>
      <c r="G49" s="2" t="s">
        <v>148</v>
      </c>
      <c r="H49" s="2">
        <v>76632086198.800003</v>
      </c>
      <c r="I49" s="2">
        <v>1737.5</v>
      </c>
      <c r="J49" s="2">
        <v>80.847597120000003</v>
      </c>
      <c r="K49" s="2">
        <v>677538</v>
      </c>
      <c r="L49" s="2">
        <v>6379562392400</v>
      </c>
      <c r="M49" s="2">
        <v>361938</v>
      </c>
      <c r="N49" s="2" t="s">
        <v>149</v>
      </c>
      <c r="O49" s="2">
        <v>1.115E-4</v>
      </c>
      <c r="P49" s="2">
        <v>168425086</v>
      </c>
      <c r="Q49" s="2">
        <v>139</v>
      </c>
    </row>
    <row r="50" spans="1:17" x14ac:dyDescent="0.25">
      <c r="A50" s="1">
        <v>43560</v>
      </c>
      <c r="B50" s="2" t="s">
        <v>150</v>
      </c>
      <c r="C50" s="2" t="s">
        <v>151</v>
      </c>
      <c r="D50" s="2">
        <v>386932</v>
      </c>
      <c r="E50" s="2" t="s">
        <v>152</v>
      </c>
      <c r="F50" s="2" t="s">
        <v>153</v>
      </c>
      <c r="G50" s="2" t="s">
        <v>154</v>
      </c>
      <c r="H50" s="2">
        <v>76606733692.699997</v>
      </c>
      <c r="I50" s="2">
        <v>1975</v>
      </c>
      <c r="J50" s="2">
        <v>114.82307281</v>
      </c>
      <c r="K50" s="2">
        <v>883945</v>
      </c>
      <c r="L50" s="2">
        <v>6379265451410</v>
      </c>
      <c r="M50" s="2">
        <v>510850</v>
      </c>
      <c r="N50" s="2" t="s">
        <v>155</v>
      </c>
      <c r="O50" s="2">
        <v>1.6200000000000001E-4</v>
      </c>
      <c r="P50" s="2">
        <v>196073079</v>
      </c>
      <c r="Q50" s="2">
        <v>158</v>
      </c>
    </row>
    <row r="51" spans="1:17" x14ac:dyDescent="0.25">
      <c r="A51" s="1">
        <v>43559</v>
      </c>
      <c r="B51" s="2" t="s">
        <v>156</v>
      </c>
      <c r="C51" s="2" t="s">
        <v>157</v>
      </c>
      <c r="D51" s="2">
        <v>354520</v>
      </c>
      <c r="E51" s="2" t="s">
        <v>158</v>
      </c>
      <c r="F51" s="2" t="s">
        <v>159</v>
      </c>
      <c r="G51" s="2" t="s">
        <v>160</v>
      </c>
      <c r="H51" s="2">
        <v>76578566156.300003</v>
      </c>
      <c r="I51" s="2">
        <v>1750</v>
      </c>
      <c r="J51" s="2">
        <v>154.4635303</v>
      </c>
      <c r="K51" s="2">
        <v>806481</v>
      </c>
      <c r="L51" s="2">
        <v>6379265451410</v>
      </c>
      <c r="M51" s="2">
        <v>479232</v>
      </c>
      <c r="N51" s="2" t="s">
        <v>161</v>
      </c>
      <c r="O51" s="2">
        <v>2.4002999999999999E-4</v>
      </c>
      <c r="P51" s="2">
        <v>169814134</v>
      </c>
      <c r="Q51" s="2">
        <v>140</v>
      </c>
    </row>
    <row r="52" spans="1:17" x14ac:dyDescent="0.25">
      <c r="A52" s="1">
        <v>43558</v>
      </c>
      <c r="B52" s="2" t="s">
        <v>162</v>
      </c>
      <c r="C52" s="2" t="s">
        <v>163</v>
      </c>
      <c r="D52" s="2">
        <v>360108</v>
      </c>
      <c r="E52" s="2" t="s">
        <v>164</v>
      </c>
      <c r="F52" s="2" t="s">
        <v>165</v>
      </c>
      <c r="G52" s="2" t="s">
        <v>166</v>
      </c>
      <c r="H52" s="2">
        <v>76514926365.100006</v>
      </c>
      <c r="I52" s="2">
        <v>1775</v>
      </c>
      <c r="J52" s="2">
        <v>142.10298824</v>
      </c>
      <c r="K52" s="2">
        <v>856239</v>
      </c>
      <c r="L52" s="2">
        <v>6379265451410</v>
      </c>
      <c r="M52" s="2">
        <v>499186</v>
      </c>
      <c r="N52" s="2" t="s">
        <v>167</v>
      </c>
      <c r="O52" s="2">
        <v>2.0792E-4</v>
      </c>
      <c r="P52" s="2">
        <v>177262859</v>
      </c>
      <c r="Q52" s="2">
        <v>142</v>
      </c>
    </row>
    <row r="53" spans="1:17" x14ac:dyDescent="0.25">
      <c r="A53" s="1">
        <v>43557</v>
      </c>
      <c r="B53" s="2" t="s">
        <v>168</v>
      </c>
      <c r="C53" s="2" t="s">
        <v>169</v>
      </c>
      <c r="D53" s="2">
        <v>401350</v>
      </c>
      <c r="E53" s="2" t="s">
        <v>170</v>
      </c>
      <c r="F53" s="2" t="s">
        <v>171</v>
      </c>
      <c r="G53" s="2" t="s">
        <v>172</v>
      </c>
      <c r="H53" s="2">
        <v>76409144208.899994</v>
      </c>
      <c r="I53" s="2">
        <v>1962.5</v>
      </c>
      <c r="J53" s="2">
        <v>114.48978878</v>
      </c>
      <c r="K53" s="2">
        <v>887943</v>
      </c>
      <c r="L53" s="2">
        <v>6379265451410</v>
      </c>
      <c r="M53" s="2">
        <v>537869</v>
      </c>
      <c r="N53" s="2" t="s">
        <v>173</v>
      </c>
      <c r="O53" s="2">
        <v>1.6045999999999999E-4</v>
      </c>
      <c r="P53" s="2">
        <v>190834595</v>
      </c>
      <c r="Q53" s="2">
        <v>157</v>
      </c>
    </row>
    <row r="54" spans="1:17" x14ac:dyDescent="0.25">
      <c r="A54" s="1">
        <v>43556</v>
      </c>
      <c r="B54" s="2" t="s">
        <v>174</v>
      </c>
      <c r="C54" s="2" t="s">
        <v>175</v>
      </c>
      <c r="D54" s="2">
        <v>368768</v>
      </c>
      <c r="E54" s="2" t="s">
        <v>176</v>
      </c>
      <c r="F54" s="2" t="s">
        <v>177</v>
      </c>
      <c r="G54" s="2" t="s">
        <v>178</v>
      </c>
      <c r="H54" s="2">
        <v>76095362312</v>
      </c>
      <c r="I54" s="2">
        <v>1700</v>
      </c>
      <c r="J54" s="2">
        <v>61.846737300000001</v>
      </c>
      <c r="K54" s="2">
        <v>690267</v>
      </c>
      <c r="L54" s="2">
        <v>6379265451410</v>
      </c>
      <c r="M54" s="2">
        <v>427865</v>
      </c>
      <c r="N54" s="2" t="s">
        <v>179</v>
      </c>
      <c r="O54" s="2">
        <v>1E-4</v>
      </c>
      <c r="P54" s="2">
        <v>163928705</v>
      </c>
      <c r="Q54" s="2">
        <v>136</v>
      </c>
    </row>
    <row r="55" spans="1:17" x14ac:dyDescent="0.25">
      <c r="A55" s="1">
        <v>43555</v>
      </c>
      <c r="B55" s="2" t="s">
        <v>180</v>
      </c>
      <c r="C55" s="2" t="s">
        <v>181</v>
      </c>
      <c r="D55" s="2">
        <v>381513</v>
      </c>
      <c r="E55" s="2" t="s">
        <v>182</v>
      </c>
      <c r="F55" s="2" t="s">
        <v>183</v>
      </c>
      <c r="G55" s="2" t="s">
        <v>184</v>
      </c>
      <c r="H55" s="2">
        <v>76083510103.699997</v>
      </c>
      <c r="I55" s="2">
        <v>1737.5</v>
      </c>
      <c r="J55" s="2">
        <v>44.61425508</v>
      </c>
      <c r="K55" s="2">
        <v>625988</v>
      </c>
      <c r="L55" s="2">
        <v>6379265451410</v>
      </c>
      <c r="M55" s="2">
        <v>363612</v>
      </c>
      <c r="N55" s="2" t="s">
        <v>185</v>
      </c>
      <c r="O55" s="2">
        <v>7.2960000000000006E-5</v>
      </c>
      <c r="P55" s="2">
        <v>163125656</v>
      </c>
      <c r="Q55" s="2">
        <v>139</v>
      </c>
    </row>
    <row r="56" spans="1:17" x14ac:dyDescent="0.25">
      <c r="A56" s="1">
        <v>43554</v>
      </c>
      <c r="B56" s="2" t="s">
        <v>186</v>
      </c>
      <c r="C56" s="2" t="s">
        <v>187</v>
      </c>
      <c r="D56" s="2">
        <v>377644</v>
      </c>
      <c r="E56" s="2" t="s">
        <v>188</v>
      </c>
      <c r="F56" s="2" t="s">
        <v>189</v>
      </c>
      <c r="G56" s="2" t="s">
        <v>190</v>
      </c>
      <c r="H56" s="2">
        <v>76146448809.699997</v>
      </c>
      <c r="I56" s="2">
        <v>1737.5</v>
      </c>
      <c r="J56" s="2">
        <v>54.673729029999997</v>
      </c>
      <c r="K56" s="2">
        <v>684567</v>
      </c>
      <c r="L56" s="2">
        <v>6379265451410</v>
      </c>
      <c r="M56" s="2">
        <v>413311</v>
      </c>
      <c r="N56" s="2" t="s">
        <v>191</v>
      </c>
      <c r="O56" s="2">
        <v>8.8350000000000006E-5</v>
      </c>
      <c r="P56" s="2">
        <v>167483909</v>
      </c>
      <c r="Q56" s="2">
        <v>139</v>
      </c>
    </row>
    <row r="57" spans="1:17" x14ac:dyDescent="0.25">
      <c r="A57" s="1">
        <v>43553</v>
      </c>
      <c r="B57" s="2" t="s">
        <v>192</v>
      </c>
      <c r="C57" s="2" t="s">
        <v>193</v>
      </c>
      <c r="D57" s="2">
        <v>369670</v>
      </c>
      <c r="E57" s="2" t="s">
        <v>194</v>
      </c>
      <c r="F57" s="2" t="s">
        <v>195</v>
      </c>
      <c r="G57" s="2" t="s">
        <v>196</v>
      </c>
      <c r="H57" s="2">
        <v>76139906049.5</v>
      </c>
      <c r="I57" s="2">
        <v>1837.5</v>
      </c>
      <c r="J57" s="2">
        <v>63.482085519999998</v>
      </c>
      <c r="K57" s="2">
        <v>764554</v>
      </c>
      <c r="L57" s="2">
        <v>6379265451410</v>
      </c>
      <c r="M57" s="2">
        <v>458092</v>
      </c>
      <c r="N57" s="2" t="s">
        <v>197</v>
      </c>
      <c r="O57" s="2">
        <v>8.8919999999999996E-5</v>
      </c>
      <c r="P57" s="2">
        <v>181395256</v>
      </c>
      <c r="Q57" s="2">
        <v>147</v>
      </c>
    </row>
    <row r="58" spans="1:17" x14ac:dyDescent="0.25">
      <c r="A58" s="1">
        <v>43552</v>
      </c>
      <c r="B58" s="2" t="s">
        <v>198</v>
      </c>
      <c r="C58" s="2" t="s">
        <v>199</v>
      </c>
      <c r="D58" s="2">
        <v>393552</v>
      </c>
      <c r="E58" s="2" t="s">
        <v>200</v>
      </c>
      <c r="F58" s="2" t="s">
        <v>201</v>
      </c>
      <c r="G58" s="2" t="s">
        <v>202</v>
      </c>
      <c r="H58" s="2">
        <v>76090810602.399994</v>
      </c>
      <c r="I58" s="2">
        <v>1825</v>
      </c>
      <c r="J58" s="2">
        <v>47.816909879999997</v>
      </c>
      <c r="K58" s="2">
        <v>768236</v>
      </c>
      <c r="L58" s="2">
        <v>6379265451410</v>
      </c>
      <c r="M58" s="2">
        <v>458047</v>
      </c>
      <c r="N58" s="2" t="s">
        <v>203</v>
      </c>
      <c r="O58" s="2">
        <v>6.9439999999999999E-5</v>
      </c>
      <c r="P58" s="2">
        <v>177723961</v>
      </c>
      <c r="Q58" s="2">
        <v>146</v>
      </c>
    </row>
    <row r="59" spans="1:17" x14ac:dyDescent="0.25">
      <c r="A59" s="1">
        <v>43551</v>
      </c>
      <c r="B59" s="2" t="s">
        <v>204</v>
      </c>
      <c r="C59" s="2" t="s">
        <v>205</v>
      </c>
      <c r="D59" s="2">
        <v>383037</v>
      </c>
      <c r="E59" s="2" t="s">
        <v>206</v>
      </c>
      <c r="F59" s="2" t="s">
        <v>207</v>
      </c>
      <c r="G59" s="2" t="s">
        <v>208</v>
      </c>
      <c r="H59" s="2">
        <v>76088339733.399994</v>
      </c>
      <c r="I59" s="2">
        <v>1862.5</v>
      </c>
      <c r="J59" s="2">
        <v>48.020517290000001</v>
      </c>
      <c r="K59" s="2">
        <v>783503</v>
      </c>
      <c r="L59" s="2">
        <v>6379265451410</v>
      </c>
      <c r="M59" s="2">
        <v>448545</v>
      </c>
      <c r="N59" s="2" t="s">
        <v>209</v>
      </c>
      <c r="O59" s="2">
        <v>7.2100000000000004E-5</v>
      </c>
      <c r="P59" s="2">
        <v>178744843</v>
      </c>
      <c r="Q59" s="2">
        <v>149</v>
      </c>
    </row>
    <row r="60" spans="1:17" x14ac:dyDescent="0.25">
      <c r="A60" s="1">
        <v>43550</v>
      </c>
      <c r="B60" s="2" t="s">
        <v>210</v>
      </c>
      <c r="C60" s="2" t="s">
        <v>211</v>
      </c>
      <c r="D60" s="2">
        <v>366281</v>
      </c>
      <c r="E60" s="2" t="s">
        <v>212</v>
      </c>
      <c r="F60" s="2" t="s">
        <v>213</v>
      </c>
      <c r="G60" s="2" t="s">
        <v>214</v>
      </c>
      <c r="H60" s="2">
        <v>76070785790.199997</v>
      </c>
      <c r="I60" s="2">
        <v>1675</v>
      </c>
      <c r="J60" s="2">
        <v>36.414956289999999</v>
      </c>
      <c r="K60" s="2">
        <v>686300</v>
      </c>
      <c r="L60" s="2">
        <v>6379265451410</v>
      </c>
      <c r="M60" s="2">
        <v>420487</v>
      </c>
      <c r="N60" s="2" t="s">
        <v>215</v>
      </c>
      <c r="O60" s="2">
        <v>5.13E-5</v>
      </c>
      <c r="P60" s="2">
        <v>161853107</v>
      </c>
      <c r="Q60" s="2">
        <v>134</v>
      </c>
    </row>
    <row r="61" spans="1:17" x14ac:dyDescent="0.25">
      <c r="A61" s="1">
        <v>43549</v>
      </c>
      <c r="B61" s="2" t="s">
        <v>216</v>
      </c>
      <c r="C61" s="2" t="s">
        <v>217</v>
      </c>
      <c r="D61" s="2">
        <v>322043</v>
      </c>
      <c r="E61" s="2" t="s">
        <v>218</v>
      </c>
      <c r="F61" s="2" t="s">
        <v>219</v>
      </c>
      <c r="G61" s="2" t="s">
        <v>220</v>
      </c>
      <c r="H61" s="2">
        <v>76091053345.100006</v>
      </c>
      <c r="I61" s="2">
        <v>1850</v>
      </c>
      <c r="J61" s="2">
        <v>29.200962189999998</v>
      </c>
      <c r="K61" s="2">
        <v>716722</v>
      </c>
      <c r="L61" s="2">
        <v>6379265451410</v>
      </c>
      <c r="M61" s="2">
        <v>420336</v>
      </c>
      <c r="N61" s="2" t="s">
        <v>221</v>
      </c>
      <c r="O61" s="2">
        <v>3.5630000000000003E-5</v>
      </c>
      <c r="P61" s="2">
        <v>156431237</v>
      </c>
      <c r="Q61" s="2">
        <v>148</v>
      </c>
    </row>
    <row r="62" spans="1:17" x14ac:dyDescent="0.25">
      <c r="A62" s="1">
        <v>43548</v>
      </c>
      <c r="B62" s="2" t="s">
        <v>222</v>
      </c>
      <c r="C62" s="2" t="s">
        <v>223</v>
      </c>
      <c r="D62" s="2">
        <v>226016</v>
      </c>
      <c r="E62" s="2" t="s">
        <v>224</v>
      </c>
      <c r="F62" s="2" t="s">
        <v>225</v>
      </c>
      <c r="G62" s="2" t="s">
        <v>226</v>
      </c>
      <c r="H62" s="2">
        <v>76120631832.699997</v>
      </c>
      <c r="I62" s="2">
        <v>1875</v>
      </c>
      <c r="J62" s="2">
        <v>15.67630252</v>
      </c>
      <c r="K62" s="2">
        <v>559563</v>
      </c>
      <c r="L62" s="2">
        <v>6368919654420</v>
      </c>
      <c r="M62" s="2">
        <v>322392</v>
      </c>
      <c r="N62" s="2" t="s">
        <v>227</v>
      </c>
      <c r="O62" s="2">
        <v>1.8640000000000001E-5</v>
      </c>
      <c r="P62" s="2">
        <v>113046988</v>
      </c>
      <c r="Q62" s="2">
        <v>150</v>
      </c>
    </row>
    <row r="63" spans="1:17" x14ac:dyDescent="0.25">
      <c r="A63" s="1">
        <v>43547</v>
      </c>
      <c r="B63" s="2" t="s">
        <v>228</v>
      </c>
      <c r="C63" s="2" t="s">
        <v>229</v>
      </c>
      <c r="D63" s="2">
        <v>251428</v>
      </c>
      <c r="E63" s="2" t="s">
        <v>230</v>
      </c>
      <c r="F63" s="2" t="s">
        <v>231</v>
      </c>
      <c r="G63" s="2" t="s">
        <v>232</v>
      </c>
      <c r="H63" s="2">
        <v>76123919340</v>
      </c>
      <c r="I63" s="2">
        <v>1812.5</v>
      </c>
      <c r="J63" s="2">
        <v>17.948862779999999</v>
      </c>
      <c r="K63" s="2">
        <v>583506</v>
      </c>
      <c r="L63" s="2">
        <v>6068891541680</v>
      </c>
      <c r="M63" s="2">
        <v>350043</v>
      </c>
      <c r="N63" s="2" t="s">
        <v>233</v>
      </c>
      <c r="O63" s="2">
        <v>2.2920000000000001E-5</v>
      </c>
      <c r="P63" s="2">
        <v>121816915</v>
      </c>
      <c r="Q63" s="2">
        <v>145</v>
      </c>
    </row>
    <row r="64" spans="1:17" x14ac:dyDescent="0.25">
      <c r="A64" s="1">
        <v>43546</v>
      </c>
      <c r="B64" s="2" t="s">
        <v>234</v>
      </c>
      <c r="C64" s="2" t="s">
        <v>235</v>
      </c>
      <c r="D64" s="2">
        <v>298363</v>
      </c>
      <c r="E64" s="2" t="s">
        <v>236</v>
      </c>
      <c r="F64" s="2" t="s">
        <v>237</v>
      </c>
      <c r="G64" s="2" t="s">
        <v>238</v>
      </c>
      <c r="H64" s="2">
        <v>76127920923.899994</v>
      </c>
      <c r="I64" s="2">
        <v>2012.5</v>
      </c>
      <c r="J64" s="2">
        <v>27.14701994</v>
      </c>
      <c r="K64" s="2">
        <v>722829</v>
      </c>
      <c r="L64" s="2">
        <v>6068891541680</v>
      </c>
      <c r="M64" s="2">
        <v>442163</v>
      </c>
      <c r="N64" s="2" t="s">
        <v>239</v>
      </c>
      <c r="O64" s="2">
        <v>3.413E-5</v>
      </c>
      <c r="P64" s="2">
        <v>152072389</v>
      </c>
      <c r="Q64" s="2">
        <v>161</v>
      </c>
    </row>
    <row r="65" spans="1:17" x14ac:dyDescent="0.25">
      <c r="A65" s="1">
        <v>43545</v>
      </c>
      <c r="B65" s="2" t="s">
        <v>240</v>
      </c>
      <c r="C65" s="2" t="s">
        <v>241</v>
      </c>
      <c r="D65" s="2">
        <v>300569</v>
      </c>
      <c r="E65" s="2" t="s">
        <v>242</v>
      </c>
      <c r="F65" s="2" t="s">
        <v>243</v>
      </c>
      <c r="G65" s="2" t="s">
        <v>244</v>
      </c>
      <c r="H65" s="2">
        <v>76138723970.399994</v>
      </c>
      <c r="I65" s="2">
        <v>1787.5</v>
      </c>
      <c r="J65" s="2">
        <v>35.530407519999997</v>
      </c>
      <c r="K65" s="2">
        <v>708214</v>
      </c>
      <c r="L65" s="2">
        <v>6068891541680</v>
      </c>
      <c r="M65" s="2">
        <v>422361</v>
      </c>
      <c r="N65" s="2" t="s">
        <v>245</v>
      </c>
      <c r="O65" s="2">
        <v>6.0749999999999999E-5</v>
      </c>
      <c r="P65" s="2">
        <v>148669429</v>
      </c>
      <c r="Q65" s="2">
        <v>143</v>
      </c>
    </row>
    <row r="66" spans="1:17" x14ac:dyDescent="0.25">
      <c r="A66" s="1">
        <v>43544</v>
      </c>
      <c r="B66" s="2" t="s">
        <v>246</v>
      </c>
      <c r="C66" s="2" t="s">
        <v>247</v>
      </c>
      <c r="D66" s="2">
        <v>304799</v>
      </c>
      <c r="E66" s="2" t="s">
        <v>248</v>
      </c>
      <c r="F66" s="2" t="s">
        <v>249</v>
      </c>
      <c r="G66" s="2" t="s">
        <v>250</v>
      </c>
      <c r="H66" s="2">
        <v>76160606026.5</v>
      </c>
      <c r="I66" s="2">
        <v>2012.5</v>
      </c>
      <c r="J66" s="2">
        <v>27.199792299999999</v>
      </c>
      <c r="K66" s="2">
        <v>738366</v>
      </c>
      <c r="L66" s="2">
        <v>6068891541680</v>
      </c>
      <c r="M66" s="2">
        <v>428080</v>
      </c>
      <c r="N66" s="2" t="s">
        <v>251</v>
      </c>
      <c r="O66" s="2">
        <v>4.2079999999999997E-5</v>
      </c>
      <c r="P66" s="2">
        <v>159712382</v>
      </c>
      <c r="Q66" s="2">
        <v>161</v>
      </c>
    </row>
    <row r="67" spans="1:17" x14ac:dyDescent="0.25">
      <c r="A67" s="1">
        <v>43543</v>
      </c>
      <c r="B67" s="2" t="s">
        <v>252</v>
      </c>
      <c r="C67" s="2" t="s">
        <v>253</v>
      </c>
      <c r="D67" s="2">
        <v>304570</v>
      </c>
      <c r="E67" s="2" t="s">
        <v>254</v>
      </c>
      <c r="F67" s="2" t="s">
        <v>255</v>
      </c>
      <c r="G67" s="2" t="s">
        <v>256</v>
      </c>
      <c r="H67" s="2">
        <v>76154623615.300003</v>
      </c>
      <c r="I67" s="2">
        <v>2175</v>
      </c>
      <c r="J67" s="2">
        <v>22.308718649999999</v>
      </c>
      <c r="K67" s="2">
        <v>750470</v>
      </c>
      <c r="L67" s="2">
        <v>6068891541680</v>
      </c>
      <c r="M67" s="2">
        <v>441726</v>
      </c>
      <c r="N67" s="2" t="s">
        <v>257</v>
      </c>
      <c r="O67" s="2">
        <v>2.5000000000000001E-5</v>
      </c>
      <c r="P67" s="2">
        <v>158304322</v>
      </c>
      <c r="Q67" s="2">
        <v>174</v>
      </c>
    </row>
    <row r="68" spans="1:17" x14ac:dyDescent="0.25">
      <c r="A68" s="1">
        <v>43542</v>
      </c>
      <c r="B68" s="2" t="s">
        <v>258</v>
      </c>
      <c r="C68" s="2" t="s">
        <v>259</v>
      </c>
      <c r="D68" s="2">
        <v>291344</v>
      </c>
      <c r="E68" s="2" t="s">
        <v>260</v>
      </c>
      <c r="F68" s="2" t="s">
        <v>261</v>
      </c>
      <c r="G68" s="2" t="s">
        <v>262</v>
      </c>
      <c r="H68" s="2">
        <v>76137537034.199997</v>
      </c>
      <c r="I68" s="2">
        <v>2012.5</v>
      </c>
      <c r="J68" s="2">
        <v>22.374805479999999</v>
      </c>
      <c r="K68" s="2">
        <v>716941</v>
      </c>
      <c r="L68" s="2">
        <v>6068891541680</v>
      </c>
      <c r="M68" s="2">
        <v>430675</v>
      </c>
      <c r="N68" s="2" t="s">
        <v>263</v>
      </c>
      <c r="O68" s="2">
        <v>2.5279999999999999E-5</v>
      </c>
      <c r="P68" s="2">
        <v>149237780</v>
      </c>
      <c r="Q68" s="2">
        <v>161</v>
      </c>
    </row>
    <row r="69" spans="1:17" x14ac:dyDescent="0.25">
      <c r="A69" s="1">
        <v>43541</v>
      </c>
      <c r="B69" s="2" t="s">
        <v>264</v>
      </c>
      <c r="C69" s="2" t="s">
        <v>265</v>
      </c>
      <c r="D69" s="2">
        <v>227144</v>
      </c>
      <c r="E69" s="2" t="s">
        <v>266</v>
      </c>
      <c r="F69" s="2" t="s">
        <v>267</v>
      </c>
      <c r="G69" s="2" t="s">
        <v>268</v>
      </c>
      <c r="H69" s="2">
        <v>76147861760.5</v>
      </c>
      <c r="I69" s="2">
        <v>1825</v>
      </c>
      <c r="J69" s="2">
        <v>16.780711950000001</v>
      </c>
      <c r="K69" s="2">
        <v>538885</v>
      </c>
      <c r="L69" s="2">
        <v>6068891541680</v>
      </c>
      <c r="M69" s="2">
        <v>318397</v>
      </c>
      <c r="N69" s="2" t="s">
        <v>269</v>
      </c>
      <c r="O69" s="2">
        <v>2.6829999999999999E-5</v>
      </c>
      <c r="P69" s="2">
        <v>108448538</v>
      </c>
      <c r="Q69" s="2">
        <v>146</v>
      </c>
    </row>
    <row r="70" spans="1:17" x14ac:dyDescent="0.25">
      <c r="A70" s="1">
        <v>43540</v>
      </c>
      <c r="B70" s="2" t="s">
        <v>270</v>
      </c>
      <c r="C70" s="2" t="s">
        <v>271</v>
      </c>
      <c r="D70" s="2">
        <v>262104</v>
      </c>
      <c r="E70" s="2" t="s">
        <v>272</v>
      </c>
      <c r="F70" s="2" t="s">
        <v>273</v>
      </c>
      <c r="G70" s="2" t="s">
        <v>274</v>
      </c>
      <c r="H70" s="2">
        <v>76140219355.100006</v>
      </c>
      <c r="I70" s="2">
        <v>2037.5</v>
      </c>
      <c r="J70" s="2">
        <v>22.36301366</v>
      </c>
      <c r="K70" s="2">
        <v>612919</v>
      </c>
      <c r="L70" s="2">
        <v>6068891541680</v>
      </c>
      <c r="M70" s="2">
        <v>362405</v>
      </c>
      <c r="N70" s="2" t="s">
        <v>275</v>
      </c>
      <c r="O70" s="2">
        <v>3.7799999999999997E-5</v>
      </c>
      <c r="P70" s="2">
        <v>128551555</v>
      </c>
      <c r="Q70" s="2">
        <v>163</v>
      </c>
    </row>
    <row r="71" spans="1:17" x14ac:dyDescent="0.25">
      <c r="A71" s="1">
        <v>43539</v>
      </c>
      <c r="B71" s="2" t="s">
        <v>276</v>
      </c>
      <c r="C71" s="2" t="s">
        <v>277</v>
      </c>
      <c r="D71" s="2">
        <v>296817</v>
      </c>
      <c r="E71" s="2" t="s">
        <v>278</v>
      </c>
      <c r="F71" s="2" t="s">
        <v>279</v>
      </c>
      <c r="G71" s="2" t="s">
        <v>280</v>
      </c>
      <c r="H71" s="2">
        <v>76173125987.699997</v>
      </c>
      <c r="I71" s="2">
        <v>1912.5</v>
      </c>
      <c r="J71" s="2">
        <v>31.124489950000001</v>
      </c>
      <c r="K71" s="2">
        <v>719163</v>
      </c>
      <c r="L71" s="2">
        <v>6068891541680</v>
      </c>
      <c r="M71" s="2">
        <v>449418</v>
      </c>
      <c r="N71" s="2" t="s">
        <v>281</v>
      </c>
      <c r="O71" s="2">
        <v>4.9719999999999998E-5</v>
      </c>
      <c r="P71" s="2">
        <v>151101027</v>
      </c>
      <c r="Q71" s="2">
        <v>153</v>
      </c>
    </row>
    <row r="72" spans="1:17" x14ac:dyDescent="0.25">
      <c r="A72" s="1">
        <v>43538</v>
      </c>
      <c r="B72" s="2" t="s">
        <v>282</v>
      </c>
      <c r="C72" s="2" t="s">
        <v>283</v>
      </c>
      <c r="D72" s="2">
        <v>299774</v>
      </c>
      <c r="E72" s="2" t="s">
        <v>284</v>
      </c>
      <c r="F72" s="2" t="s">
        <v>285</v>
      </c>
      <c r="G72" s="2" t="s">
        <v>286</v>
      </c>
      <c r="H72" s="2">
        <v>76175656607.399994</v>
      </c>
      <c r="I72" s="2">
        <v>1937.5</v>
      </c>
      <c r="J72" s="2">
        <v>37.564376639999999</v>
      </c>
      <c r="K72" s="2">
        <v>741462</v>
      </c>
      <c r="L72" s="2">
        <v>6068891541680</v>
      </c>
      <c r="M72" s="2">
        <v>441157</v>
      </c>
      <c r="N72" s="2" t="s">
        <v>287</v>
      </c>
      <c r="O72" s="2">
        <v>5.783E-5</v>
      </c>
      <c r="P72" s="2">
        <v>161793126</v>
      </c>
      <c r="Q72" s="2">
        <v>155</v>
      </c>
    </row>
    <row r="73" spans="1:17" x14ac:dyDescent="0.25">
      <c r="A73" s="1">
        <v>43537</v>
      </c>
      <c r="B73" s="2" t="s">
        <v>288</v>
      </c>
      <c r="C73" s="2" t="s">
        <v>289</v>
      </c>
      <c r="D73" s="2">
        <v>285822</v>
      </c>
      <c r="E73" s="2" t="s">
        <v>290</v>
      </c>
      <c r="F73" s="2" t="s">
        <v>291</v>
      </c>
      <c r="G73" s="2" t="s">
        <v>292</v>
      </c>
      <c r="H73" s="2">
        <v>76192162303.300003</v>
      </c>
      <c r="I73" s="2">
        <v>1687.5</v>
      </c>
      <c r="J73" s="2">
        <v>36.043150349999998</v>
      </c>
      <c r="K73" s="2">
        <v>716432</v>
      </c>
      <c r="L73" s="2">
        <v>6068891541680</v>
      </c>
      <c r="M73" s="2">
        <v>401342</v>
      </c>
      <c r="N73" s="2" t="s">
        <v>293</v>
      </c>
      <c r="O73" s="2">
        <v>5.876E-5</v>
      </c>
      <c r="P73" s="2">
        <v>157083394</v>
      </c>
      <c r="Q73" s="2">
        <v>135</v>
      </c>
    </row>
    <row r="74" spans="1:17" x14ac:dyDescent="0.25">
      <c r="A74" s="1">
        <v>43536</v>
      </c>
      <c r="B74" s="2" t="s">
        <v>294</v>
      </c>
      <c r="C74" s="2" t="s">
        <v>295</v>
      </c>
      <c r="D74" s="2">
        <v>285510</v>
      </c>
      <c r="E74" s="2" t="s">
        <v>296</v>
      </c>
      <c r="F74" s="2" t="s">
        <v>297</v>
      </c>
      <c r="G74" s="2" t="s">
        <v>298</v>
      </c>
      <c r="H74" s="2">
        <v>76199151013</v>
      </c>
      <c r="I74" s="2">
        <v>1787.5</v>
      </c>
      <c r="J74" s="2">
        <v>31.50427651</v>
      </c>
      <c r="K74" s="2">
        <v>699031</v>
      </c>
      <c r="L74" s="2">
        <v>6068891541680</v>
      </c>
      <c r="M74" s="2">
        <v>424174</v>
      </c>
      <c r="N74" s="2" t="s">
        <v>299</v>
      </c>
      <c r="O74" s="2">
        <v>4.9960000000000003E-5</v>
      </c>
      <c r="P74" s="2">
        <v>143595042</v>
      </c>
      <c r="Q74" s="2">
        <v>143</v>
      </c>
    </row>
    <row r="75" spans="1:17" x14ac:dyDescent="0.25">
      <c r="A75" s="1">
        <v>43535</v>
      </c>
      <c r="B75" s="2" t="s">
        <v>300</v>
      </c>
      <c r="C75" s="2" t="s">
        <v>301</v>
      </c>
      <c r="D75" s="2">
        <v>294599</v>
      </c>
      <c r="E75" s="2" t="s">
        <v>302</v>
      </c>
      <c r="F75" s="2" t="s">
        <v>303</v>
      </c>
      <c r="G75" s="2" t="s">
        <v>304</v>
      </c>
      <c r="H75" s="2">
        <v>76230801306.300003</v>
      </c>
      <c r="I75" s="2">
        <v>1775</v>
      </c>
      <c r="J75" s="2">
        <v>30.821793580000001</v>
      </c>
      <c r="K75" s="2">
        <v>750671</v>
      </c>
      <c r="L75" s="2">
        <v>6068891541680</v>
      </c>
      <c r="M75" s="2">
        <v>432506</v>
      </c>
      <c r="N75" s="2" t="s">
        <v>305</v>
      </c>
      <c r="O75" s="2">
        <v>4.1310000000000003E-5</v>
      </c>
      <c r="P75" s="2">
        <v>156139554</v>
      </c>
      <c r="Q75" s="2">
        <v>142</v>
      </c>
    </row>
    <row r="76" spans="1:17" x14ac:dyDescent="0.25">
      <c r="A76" s="1">
        <v>43534</v>
      </c>
      <c r="B76" s="2" t="s">
        <v>306</v>
      </c>
      <c r="C76" s="2" t="s">
        <v>307</v>
      </c>
      <c r="D76" s="2">
        <v>212741</v>
      </c>
      <c r="E76" s="2" t="s">
        <v>308</v>
      </c>
      <c r="F76" s="2" t="s">
        <v>309</v>
      </c>
      <c r="G76" s="2" t="s">
        <v>310</v>
      </c>
      <c r="H76" s="2">
        <v>76261866176.5</v>
      </c>
      <c r="I76" s="2">
        <v>1700</v>
      </c>
      <c r="J76" s="2">
        <v>19.086682759999999</v>
      </c>
      <c r="K76" s="2">
        <v>521890</v>
      </c>
      <c r="L76" s="2">
        <v>6071216044490</v>
      </c>
      <c r="M76" s="2">
        <v>301585</v>
      </c>
      <c r="N76" s="2" t="s">
        <v>311</v>
      </c>
      <c r="O76" s="2">
        <v>3.5500000000000002E-5</v>
      </c>
      <c r="P76" s="2">
        <v>106552376</v>
      </c>
      <c r="Q76" s="2">
        <v>136</v>
      </c>
    </row>
    <row r="77" spans="1:17" x14ac:dyDescent="0.25">
      <c r="A77" s="1">
        <v>43533</v>
      </c>
      <c r="B77" s="2" t="s">
        <v>312</v>
      </c>
      <c r="C77" s="2" t="s">
        <v>313</v>
      </c>
      <c r="D77" s="2">
        <v>239354</v>
      </c>
      <c r="E77" s="2" t="s">
        <v>314</v>
      </c>
      <c r="F77" s="2" t="s">
        <v>315</v>
      </c>
      <c r="G77" s="2" t="s">
        <v>316</v>
      </c>
      <c r="H77" s="2">
        <v>76270551703.300003</v>
      </c>
      <c r="I77" s="2">
        <v>1725</v>
      </c>
      <c r="J77" s="2">
        <v>24.544206129999999</v>
      </c>
      <c r="K77" s="2">
        <v>601886</v>
      </c>
      <c r="L77" s="2">
        <v>6071846049920</v>
      </c>
      <c r="M77" s="2">
        <v>356096</v>
      </c>
      <c r="N77" s="2" t="s">
        <v>317</v>
      </c>
      <c r="O77" s="2">
        <v>4.6740000000000003E-5</v>
      </c>
      <c r="P77" s="2">
        <v>121774445</v>
      </c>
      <c r="Q77" s="2">
        <v>138</v>
      </c>
    </row>
    <row r="78" spans="1:17" x14ac:dyDescent="0.25">
      <c r="A78" s="1">
        <v>43532</v>
      </c>
      <c r="B78" s="2" t="s">
        <v>318</v>
      </c>
      <c r="C78" s="2" t="s">
        <v>319</v>
      </c>
      <c r="D78" s="2">
        <v>285118</v>
      </c>
      <c r="E78" s="2" t="s">
        <v>320</v>
      </c>
      <c r="F78" s="2" t="s">
        <v>321</v>
      </c>
      <c r="G78" s="2" t="s">
        <v>322</v>
      </c>
      <c r="H78" s="2">
        <v>76265796346.600006</v>
      </c>
      <c r="I78" s="2">
        <v>1825</v>
      </c>
      <c r="J78" s="2">
        <v>34.534207289999998</v>
      </c>
      <c r="K78" s="2">
        <v>711513</v>
      </c>
      <c r="L78" s="2">
        <v>6071846049920</v>
      </c>
      <c r="M78" s="2">
        <v>430237</v>
      </c>
      <c r="N78" s="2" t="s">
        <v>323</v>
      </c>
      <c r="O78" s="2">
        <v>6.1039999999999998E-5</v>
      </c>
      <c r="P78" s="2">
        <v>145800942</v>
      </c>
      <c r="Q78" s="2">
        <v>146</v>
      </c>
    </row>
    <row r="79" spans="1:17" x14ac:dyDescent="0.25">
      <c r="A79" s="1">
        <v>43531</v>
      </c>
      <c r="B79" s="2" t="s">
        <v>324</v>
      </c>
      <c r="C79" s="2" t="s">
        <v>325</v>
      </c>
      <c r="D79" s="2">
        <v>282381</v>
      </c>
      <c r="E79" s="2" t="s">
        <v>326</v>
      </c>
      <c r="F79" s="2" t="s">
        <v>327</v>
      </c>
      <c r="G79" s="2" t="s">
        <v>328</v>
      </c>
      <c r="H79" s="2">
        <v>76291964761</v>
      </c>
      <c r="I79" s="2">
        <v>1775</v>
      </c>
      <c r="J79" s="2">
        <v>38.158851839999997</v>
      </c>
      <c r="K79" s="2">
        <v>689211</v>
      </c>
      <c r="L79" s="2">
        <v>6071846049920</v>
      </c>
      <c r="M79" s="2">
        <v>414404</v>
      </c>
      <c r="N79" s="2" t="s">
        <v>329</v>
      </c>
      <c r="O79" s="2">
        <v>7.0060000000000003E-5</v>
      </c>
      <c r="P79" s="2">
        <v>143198756</v>
      </c>
      <c r="Q79" s="2">
        <v>142</v>
      </c>
    </row>
    <row r="80" spans="1:17" x14ac:dyDescent="0.25">
      <c r="A80" s="1">
        <v>43530</v>
      </c>
      <c r="B80" s="2" t="s">
        <v>330</v>
      </c>
      <c r="C80" s="2" t="s">
        <v>331</v>
      </c>
      <c r="D80" s="2">
        <v>277735</v>
      </c>
      <c r="E80" s="2" t="s">
        <v>332</v>
      </c>
      <c r="F80" s="2" t="s">
        <v>333</v>
      </c>
      <c r="G80" s="2" t="s">
        <v>334</v>
      </c>
      <c r="H80" s="2">
        <v>76294743640.399994</v>
      </c>
      <c r="I80" s="2">
        <v>1600</v>
      </c>
      <c r="J80" s="2">
        <v>38.436843449999998</v>
      </c>
      <c r="K80" s="2">
        <v>738120</v>
      </c>
      <c r="L80" s="2">
        <v>6071846049920</v>
      </c>
      <c r="M80" s="2">
        <v>409431</v>
      </c>
      <c r="N80" s="2" t="s">
        <v>335</v>
      </c>
      <c r="O80" s="2">
        <v>6.512E-5</v>
      </c>
      <c r="P80" s="2">
        <v>158163111</v>
      </c>
      <c r="Q80" s="2">
        <v>128</v>
      </c>
    </row>
    <row r="81" spans="1:17" x14ac:dyDescent="0.25">
      <c r="A81" s="1">
        <v>43529</v>
      </c>
      <c r="B81" s="2" t="s">
        <v>336</v>
      </c>
      <c r="C81" s="2" t="s">
        <v>337</v>
      </c>
      <c r="D81" s="2">
        <v>285567</v>
      </c>
      <c r="E81" s="2" t="s">
        <v>338</v>
      </c>
      <c r="F81" s="2" t="s">
        <v>339</v>
      </c>
      <c r="G81" s="2" t="s">
        <v>340</v>
      </c>
      <c r="H81" s="2">
        <v>76304735277.300003</v>
      </c>
      <c r="I81" s="2">
        <v>1862.5</v>
      </c>
      <c r="J81" s="2">
        <v>29.023630019999999</v>
      </c>
      <c r="K81" s="2">
        <v>706754</v>
      </c>
      <c r="L81" s="2">
        <v>6071846049920</v>
      </c>
      <c r="M81" s="2">
        <v>423315</v>
      </c>
      <c r="N81" s="2" t="s">
        <v>341</v>
      </c>
      <c r="O81" s="2">
        <v>4.6350000000000002E-5</v>
      </c>
      <c r="P81" s="2">
        <v>153443952</v>
      </c>
      <c r="Q81" s="2">
        <v>149</v>
      </c>
    </row>
    <row r="82" spans="1:17" x14ac:dyDescent="0.25">
      <c r="A82" s="1">
        <v>43528</v>
      </c>
      <c r="B82" s="2" t="s">
        <v>342</v>
      </c>
      <c r="C82" s="2" t="s">
        <v>343</v>
      </c>
      <c r="D82" s="2">
        <v>304051</v>
      </c>
      <c r="E82" s="2" t="s">
        <v>344</v>
      </c>
      <c r="F82" s="2" t="s">
        <v>345</v>
      </c>
      <c r="G82" s="2" t="s">
        <v>346</v>
      </c>
      <c r="H82" s="2">
        <v>76290411109.5</v>
      </c>
      <c r="I82" s="2">
        <v>1712.5</v>
      </c>
      <c r="J82" s="2">
        <v>28.459915689999999</v>
      </c>
      <c r="K82" s="2">
        <v>681631</v>
      </c>
      <c r="L82" s="2">
        <v>6071846049920</v>
      </c>
      <c r="M82" s="2">
        <v>389451</v>
      </c>
      <c r="N82" s="2" t="s">
        <v>347</v>
      </c>
      <c r="O82" s="2">
        <v>4.2490000000000001E-5</v>
      </c>
      <c r="P82" s="2">
        <v>151351295</v>
      </c>
      <c r="Q82" s="2">
        <v>137</v>
      </c>
    </row>
    <row r="83" spans="1:17" x14ac:dyDescent="0.25">
      <c r="A83" s="1">
        <v>43527</v>
      </c>
      <c r="B83" s="2" t="s">
        <v>348</v>
      </c>
      <c r="C83" s="2" t="s">
        <v>349</v>
      </c>
      <c r="D83" s="2">
        <v>353537</v>
      </c>
      <c r="E83" s="2" t="s">
        <v>350</v>
      </c>
      <c r="F83" s="2" t="s">
        <v>351</v>
      </c>
      <c r="G83" s="2" t="s">
        <v>352</v>
      </c>
      <c r="H83" s="2">
        <v>76366178552.5</v>
      </c>
      <c r="I83" s="2">
        <v>1825</v>
      </c>
      <c r="J83" s="2">
        <v>21.384299810000002</v>
      </c>
      <c r="K83" s="2">
        <v>555628</v>
      </c>
      <c r="L83" s="2">
        <v>6071846049920</v>
      </c>
      <c r="M83" s="2">
        <v>311337</v>
      </c>
      <c r="N83" s="2" t="s">
        <v>353</v>
      </c>
      <c r="O83" s="2">
        <v>2.5899999999999999E-5</v>
      </c>
      <c r="P83" s="2">
        <v>146522736</v>
      </c>
      <c r="Q83" s="2">
        <v>146</v>
      </c>
    </row>
    <row r="84" spans="1:17" x14ac:dyDescent="0.25">
      <c r="A84" s="1">
        <v>43526</v>
      </c>
      <c r="B84" s="2" t="s">
        <v>354</v>
      </c>
      <c r="C84" s="2" t="s">
        <v>355</v>
      </c>
      <c r="D84" s="2">
        <v>335732</v>
      </c>
      <c r="E84" s="2" t="s">
        <v>356</v>
      </c>
      <c r="F84" s="2" t="s">
        <v>357</v>
      </c>
      <c r="G84" s="2" t="s">
        <v>358</v>
      </c>
      <c r="H84" s="2">
        <v>76369024136.899994</v>
      </c>
      <c r="I84" s="2">
        <v>1650</v>
      </c>
      <c r="J84" s="2">
        <v>25.32153705</v>
      </c>
      <c r="K84" s="2">
        <v>631290</v>
      </c>
      <c r="L84" s="2">
        <v>6071846049920</v>
      </c>
      <c r="M84" s="2">
        <v>370265</v>
      </c>
      <c r="N84" s="2" t="s">
        <v>359</v>
      </c>
      <c r="O84" s="2">
        <v>3.2030000000000003E-5</v>
      </c>
      <c r="P84" s="2">
        <v>152536462</v>
      </c>
      <c r="Q84" s="2">
        <v>132</v>
      </c>
    </row>
    <row r="85" spans="1:17" x14ac:dyDescent="0.25">
      <c r="A85" s="1">
        <v>43525</v>
      </c>
      <c r="B85" s="2" t="s">
        <v>360</v>
      </c>
      <c r="C85" s="2" t="s">
        <v>361</v>
      </c>
      <c r="D85" s="2">
        <v>354260</v>
      </c>
      <c r="E85" s="2" t="s">
        <v>362</v>
      </c>
      <c r="F85" s="2" t="s">
        <v>363</v>
      </c>
      <c r="G85" s="2" t="s">
        <v>364</v>
      </c>
      <c r="H85" s="2">
        <v>76382893649.300003</v>
      </c>
      <c r="I85" s="2">
        <v>2025</v>
      </c>
      <c r="J85" s="2">
        <v>30.486119729999999</v>
      </c>
      <c r="K85" s="2">
        <v>723763</v>
      </c>
      <c r="L85" s="2">
        <v>6071846049920</v>
      </c>
      <c r="M85" s="2">
        <v>435776</v>
      </c>
      <c r="N85" s="2" t="s">
        <v>365</v>
      </c>
      <c r="O85" s="2">
        <v>3.7540000000000003E-5</v>
      </c>
      <c r="P85" s="2">
        <v>170597568</v>
      </c>
      <c r="Q85" s="2">
        <v>162</v>
      </c>
    </row>
    <row r="86" spans="1:17" x14ac:dyDescent="0.25">
      <c r="A86" s="1">
        <v>43524</v>
      </c>
      <c r="B86" s="2" t="s">
        <v>366</v>
      </c>
      <c r="C86" s="2" t="s">
        <v>367</v>
      </c>
      <c r="D86" s="2">
        <v>367677</v>
      </c>
      <c r="E86" s="2" t="s">
        <v>368</v>
      </c>
      <c r="F86" s="2" t="s">
        <v>369</v>
      </c>
      <c r="G86" s="2" t="s">
        <v>370</v>
      </c>
      <c r="H86" s="2">
        <v>76393799574</v>
      </c>
      <c r="I86" s="2">
        <v>1874.99999925</v>
      </c>
      <c r="J86" s="2">
        <v>30.29594178</v>
      </c>
      <c r="K86" s="2">
        <v>692972</v>
      </c>
      <c r="L86" s="2">
        <v>6071846049920</v>
      </c>
      <c r="M86" s="2">
        <v>404743</v>
      </c>
      <c r="N86" s="2" t="s">
        <v>371</v>
      </c>
      <c r="O86" s="2">
        <v>3.4999999999999997E-5</v>
      </c>
      <c r="P86" s="2">
        <v>169610591</v>
      </c>
      <c r="Q86" s="2">
        <v>150</v>
      </c>
    </row>
    <row r="87" spans="1:17" x14ac:dyDescent="0.25">
      <c r="A87" s="1">
        <v>43523</v>
      </c>
      <c r="B87" s="2" t="s">
        <v>372</v>
      </c>
      <c r="C87" s="2" t="s">
        <v>373</v>
      </c>
      <c r="D87" s="2">
        <v>344419</v>
      </c>
      <c r="E87" s="2" t="s">
        <v>374</v>
      </c>
      <c r="F87" s="2" t="s">
        <v>375</v>
      </c>
      <c r="G87" s="2" t="s">
        <v>376</v>
      </c>
      <c r="H87" s="2">
        <v>76421060583.600006</v>
      </c>
      <c r="I87" s="2">
        <v>1762.5</v>
      </c>
      <c r="J87" s="2">
        <v>32.663184149999999</v>
      </c>
      <c r="K87" s="2">
        <v>679225</v>
      </c>
      <c r="L87" s="2">
        <v>6071846049920</v>
      </c>
      <c r="M87" s="2">
        <v>404256</v>
      </c>
      <c r="N87" s="2" t="s">
        <v>377</v>
      </c>
      <c r="O87" s="2">
        <v>4.1579999999999998E-5</v>
      </c>
      <c r="P87" s="2">
        <v>158642210</v>
      </c>
      <c r="Q87" s="2">
        <v>141</v>
      </c>
    </row>
    <row r="88" spans="1:17" x14ac:dyDescent="0.25">
      <c r="A88" s="1">
        <v>43522</v>
      </c>
      <c r="B88" s="2" t="s">
        <v>378</v>
      </c>
      <c r="C88" s="2" t="s">
        <v>379</v>
      </c>
      <c r="D88" s="2">
        <v>366407</v>
      </c>
      <c r="E88" s="2" t="s">
        <v>380</v>
      </c>
      <c r="F88" s="2" t="s">
        <v>381</v>
      </c>
      <c r="G88" s="2" t="s">
        <v>382</v>
      </c>
      <c r="H88" s="2">
        <v>76439551243.800003</v>
      </c>
      <c r="I88" s="2">
        <v>2012.5</v>
      </c>
      <c r="J88" s="2">
        <v>35.84517142</v>
      </c>
      <c r="K88" s="2">
        <v>704081</v>
      </c>
      <c r="L88" s="2">
        <v>6071846049920</v>
      </c>
      <c r="M88" s="2">
        <v>414081</v>
      </c>
      <c r="N88" s="2" t="s">
        <v>383</v>
      </c>
      <c r="O88" s="2">
        <v>4.5019999999999999E-5</v>
      </c>
      <c r="P88" s="2">
        <v>175958083</v>
      </c>
      <c r="Q88" s="2">
        <v>161</v>
      </c>
    </row>
    <row r="89" spans="1:17" x14ac:dyDescent="0.25">
      <c r="A89" s="1">
        <v>43521</v>
      </c>
      <c r="B89" s="2" t="s">
        <v>384</v>
      </c>
      <c r="C89" s="2" t="s">
        <v>385</v>
      </c>
      <c r="D89" s="2">
        <v>336491</v>
      </c>
      <c r="E89" s="2" t="s">
        <v>386</v>
      </c>
      <c r="F89" s="2" t="s">
        <v>387</v>
      </c>
      <c r="G89" s="2" t="s">
        <v>388</v>
      </c>
      <c r="H89" s="2">
        <v>76449194803.399994</v>
      </c>
      <c r="I89" s="2">
        <v>1787.5</v>
      </c>
      <c r="J89" s="2">
        <v>38.853458619999998</v>
      </c>
      <c r="K89" s="2">
        <v>670201</v>
      </c>
      <c r="L89" s="2">
        <v>6071846049920</v>
      </c>
      <c r="M89" s="2">
        <v>395599</v>
      </c>
      <c r="N89" s="2" t="s">
        <v>389</v>
      </c>
      <c r="O89" s="2">
        <v>5.1249999999999999E-5</v>
      </c>
      <c r="P89" s="2">
        <v>158662241</v>
      </c>
      <c r="Q89" s="2">
        <v>143</v>
      </c>
    </row>
    <row r="90" spans="1:17" x14ac:dyDescent="0.25">
      <c r="A90" s="1">
        <v>43520</v>
      </c>
      <c r="B90" s="2" t="s">
        <v>390</v>
      </c>
      <c r="C90" s="2" t="s">
        <v>391</v>
      </c>
      <c r="D90" s="2">
        <v>320309</v>
      </c>
      <c r="E90" s="2" t="s">
        <v>392</v>
      </c>
      <c r="F90" s="2" t="s">
        <v>393</v>
      </c>
      <c r="G90" s="2" t="s">
        <v>394</v>
      </c>
      <c r="H90" s="2">
        <v>76491897549.399994</v>
      </c>
      <c r="I90" s="2">
        <v>1712.5</v>
      </c>
      <c r="J90" s="2">
        <v>29.555421460000002</v>
      </c>
      <c r="K90" s="2">
        <v>569551</v>
      </c>
      <c r="L90" s="2">
        <v>6064081790460</v>
      </c>
      <c r="M90" s="2">
        <v>334110</v>
      </c>
      <c r="N90" s="2" t="s">
        <v>395</v>
      </c>
      <c r="O90" s="2">
        <v>4.2889999999999998E-5</v>
      </c>
      <c r="P90" s="2">
        <v>143036954</v>
      </c>
      <c r="Q90" s="2">
        <v>137</v>
      </c>
    </row>
    <row r="91" spans="1:17" x14ac:dyDescent="0.25">
      <c r="A91" s="1">
        <v>43519</v>
      </c>
      <c r="B91" s="2" t="s">
        <v>396</v>
      </c>
      <c r="C91" s="2" t="s">
        <v>397</v>
      </c>
      <c r="D91" s="2">
        <v>328096</v>
      </c>
      <c r="E91" s="2" t="s">
        <v>398</v>
      </c>
      <c r="F91" s="2" t="s">
        <v>399</v>
      </c>
      <c r="G91" s="2" t="s">
        <v>400</v>
      </c>
      <c r="H91" s="2">
        <v>76548287538.300003</v>
      </c>
      <c r="I91" s="2">
        <v>1787.5</v>
      </c>
      <c r="J91" s="2">
        <v>25.439408669999999</v>
      </c>
      <c r="K91" s="2">
        <v>570616</v>
      </c>
      <c r="L91" s="2">
        <v>6061518831030</v>
      </c>
      <c r="M91" s="2">
        <v>333670</v>
      </c>
      <c r="N91" s="2" t="s">
        <v>401</v>
      </c>
      <c r="O91" s="2">
        <v>3.6739999999999997E-5</v>
      </c>
      <c r="P91" s="2">
        <v>140539508</v>
      </c>
      <c r="Q91" s="2">
        <v>143</v>
      </c>
    </row>
    <row r="92" spans="1:17" x14ac:dyDescent="0.25">
      <c r="A92" s="1">
        <v>43518</v>
      </c>
      <c r="B92" s="2" t="s">
        <v>402</v>
      </c>
      <c r="C92" s="2" t="s">
        <v>403</v>
      </c>
      <c r="D92" s="2">
        <v>350144</v>
      </c>
      <c r="E92" s="2" t="s">
        <v>404</v>
      </c>
      <c r="F92" s="2" t="s">
        <v>405</v>
      </c>
      <c r="G92" s="2" t="s">
        <v>406</v>
      </c>
      <c r="H92" s="2">
        <v>76572364503.300003</v>
      </c>
      <c r="I92" s="2">
        <v>2025</v>
      </c>
      <c r="J92" s="2">
        <v>39.012805610000001</v>
      </c>
      <c r="K92" s="2">
        <v>739327</v>
      </c>
      <c r="L92" s="2">
        <v>6061518831030</v>
      </c>
      <c r="M92" s="2">
        <v>425591</v>
      </c>
      <c r="N92" s="2" t="s">
        <v>407</v>
      </c>
      <c r="O92" s="2">
        <v>5.5460000000000001E-5</v>
      </c>
      <c r="P92" s="2">
        <v>175799845</v>
      </c>
      <c r="Q92" s="2">
        <v>162</v>
      </c>
    </row>
    <row r="93" spans="1:17" x14ac:dyDescent="0.25">
      <c r="A93" s="1">
        <v>43517</v>
      </c>
      <c r="B93" s="2" t="s">
        <v>408</v>
      </c>
      <c r="C93" s="2" t="s">
        <v>409</v>
      </c>
      <c r="D93" s="2">
        <v>297476</v>
      </c>
      <c r="E93" s="2" t="s">
        <v>410</v>
      </c>
      <c r="F93" s="2" t="s">
        <v>411</v>
      </c>
      <c r="G93" s="2" t="s">
        <v>412</v>
      </c>
      <c r="H93" s="2">
        <v>76565964089.399994</v>
      </c>
      <c r="I93" s="2">
        <v>1487.5</v>
      </c>
      <c r="J93" s="2">
        <v>34.715608580000001</v>
      </c>
      <c r="K93" s="2">
        <v>648091</v>
      </c>
      <c r="L93" s="2">
        <v>6061518831030</v>
      </c>
      <c r="M93" s="2">
        <v>376407</v>
      </c>
      <c r="N93" s="2" t="s">
        <v>413</v>
      </c>
      <c r="O93" s="2">
        <v>5.8279999999999998E-5</v>
      </c>
      <c r="P93" s="2">
        <v>140235491</v>
      </c>
      <c r="Q93" s="2">
        <v>119</v>
      </c>
    </row>
    <row r="94" spans="1:17" x14ac:dyDescent="0.25">
      <c r="A94" s="1">
        <v>43516</v>
      </c>
      <c r="B94" s="2" t="s">
        <v>414</v>
      </c>
      <c r="C94" s="2" t="s">
        <v>415</v>
      </c>
      <c r="D94" s="2">
        <v>314190</v>
      </c>
      <c r="E94" s="2" t="s">
        <v>416</v>
      </c>
      <c r="F94" s="2" t="s">
        <v>417</v>
      </c>
      <c r="G94" s="2" t="s">
        <v>418</v>
      </c>
      <c r="H94" s="2">
        <v>76612570263.600006</v>
      </c>
      <c r="I94" s="2">
        <v>1625</v>
      </c>
      <c r="J94" s="2">
        <v>37.761845209999997</v>
      </c>
      <c r="K94" s="2">
        <v>694099</v>
      </c>
      <c r="L94" s="2">
        <v>6061518831030</v>
      </c>
      <c r="M94" s="2">
        <v>402482</v>
      </c>
      <c r="N94" s="2" t="s">
        <v>419</v>
      </c>
      <c r="O94" s="2">
        <v>5.7229999999999999E-5</v>
      </c>
      <c r="P94" s="2">
        <v>154897873</v>
      </c>
      <c r="Q94" s="2">
        <v>130</v>
      </c>
    </row>
    <row r="95" spans="1:17" x14ac:dyDescent="0.25">
      <c r="A95" s="1">
        <v>43515</v>
      </c>
      <c r="B95" s="2" t="s">
        <v>420</v>
      </c>
      <c r="C95" s="2" t="s">
        <v>421</v>
      </c>
      <c r="D95" s="2">
        <v>348086</v>
      </c>
      <c r="E95" s="2" t="s">
        <v>422</v>
      </c>
      <c r="F95" s="2" t="s">
        <v>423</v>
      </c>
      <c r="G95" s="2" t="s">
        <v>424</v>
      </c>
      <c r="H95" s="2">
        <v>76538660382.300003</v>
      </c>
      <c r="I95" s="2">
        <v>1950</v>
      </c>
      <c r="J95" s="2">
        <v>36.59295015</v>
      </c>
      <c r="K95" s="2">
        <v>715477</v>
      </c>
      <c r="L95" s="2">
        <v>6061518831030</v>
      </c>
      <c r="M95" s="2">
        <v>415088</v>
      </c>
      <c r="N95" s="2" t="s">
        <v>425</v>
      </c>
      <c r="O95" s="2">
        <v>4.6980000000000001E-5</v>
      </c>
      <c r="P95" s="2">
        <v>165433516</v>
      </c>
      <c r="Q95" s="2">
        <v>156</v>
      </c>
    </row>
    <row r="96" spans="1:17" x14ac:dyDescent="0.25">
      <c r="A96" s="1">
        <v>43514</v>
      </c>
      <c r="B96" s="2" t="s">
        <v>426</v>
      </c>
      <c r="C96" s="2" t="s">
        <v>427</v>
      </c>
      <c r="D96" s="2">
        <v>344119</v>
      </c>
      <c r="E96" s="2" t="s">
        <v>428</v>
      </c>
      <c r="F96" s="2" t="s">
        <v>429</v>
      </c>
      <c r="G96" s="2" t="s">
        <v>430</v>
      </c>
      <c r="H96" s="2">
        <v>76567273032.5</v>
      </c>
      <c r="I96" s="2">
        <v>1937.5</v>
      </c>
      <c r="J96" s="2">
        <v>29.404100790000001</v>
      </c>
      <c r="K96" s="2">
        <v>684684</v>
      </c>
      <c r="L96" s="2">
        <v>6061518831030</v>
      </c>
      <c r="M96" s="2">
        <v>391128</v>
      </c>
      <c r="N96" s="2" t="s">
        <v>431</v>
      </c>
      <c r="O96" s="2">
        <v>3.0329999999999999E-5</v>
      </c>
      <c r="P96" s="2">
        <v>167402638</v>
      </c>
      <c r="Q96" s="2">
        <v>155</v>
      </c>
    </row>
    <row r="97" spans="1:17" x14ac:dyDescent="0.25">
      <c r="A97" s="1">
        <v>43513</v>
      </c>
      <c r="B97" s="2" t="s">
        <v>432</v>
      </c>
      <c r="C97" s="2" t="s">
        <v>433</v>
      </c>
      <c r="D97" s="2">
        <v>327304</v>
      </c>
      <c r="E97" s="2" t="s">
        <v>434</v>
      </c>
      <c r="F97" s="2" t="s">
        <v>435</v>
      </c>
      <c r="G97" s="2" t="s">
        <v>436</v>
      </c>
      <c r="H97" s="2">
        <v>76563736357.899994</v>
      </c>
      <c r="I97" s="2">
        <v>1987.5</v>
      </c>
      <c r="J97" s="2">
        <v>19.172359360000002</v>
      </c>
      <c r="K97" s="2">
        <v>522930</v>
      </c>
      <c r="L97" s="2">
        <v>6061518831030</v>
      </c>
      <c r="M97" s="2">
        <v>298766</v>
      </c>
      <c r="N97" s="2" t="s">
        <v>437</v>
      </c>
      <c r="O97" s="2">
        <v>1.5820000000000001E-5</v>
      </c>
      <c r="P97" s="2">
        <v>140218576</v>
      </c>
      <c r="Q97" s="2">
        <v>159</v>
      </c>
    </row>
    <row r="98" spans="1:17" x14ac:dyDescent="0.25">
      <c r="A98" s="1">
        <v>43512</v>
      </c>
      <c r="B98" s="2" t="s">
        <v>438</v>
      </c>
      <c r="C98" s="2" t="s">
        <v>439</v>
      </c>
      <c r="D98" s="2">
        <v>331987</v>
      </c>
      <c r="E98" s="2" t="s">
        <v>440</v>
      </c>
      <c r="F98" s="2" t="s">
        <v>441</v>
      </c>
      <c r="G98" s="2" t="s">
        <v>442</v>
      </c>
      <c r="H98" s="2">
        <v>76581032191.399994</v>
      </c>
      <c r="I98" s="2">
        <v>1875</v>
      </c>
      <c r="J98" s="2">
        <v>22.365721709999999</v>
      </c>
      <c r="K98" s="2">
        <v>604959</v>
      </c>
      <c r="L98" s="2">
        <v>6061518831030</v>
      </c>
      <c r="M98" s="2">
        <v>343034</v>
      </c>
      <c r="N98" s="2" t="s">
        <v>443</v>
      </c>
      <c r="O98" s="2">
        <v>2.5899999999999999E-5</v>
      </c>
      <c r="P98" s="2">
        <v>151314004</v>
      </c>
      <c r="Q98" s="2">
        <v>150</v>
      </c>
    </row>
    <row r="99" spans="1:17" x14ac:dyDescent="0.25">
      <c r="A99" s="1">
        <v>43511</v>
      </c>
      <c r="B99" s="2" t="s">
        <v>444</v>
      </c>
      <c r="C99" s="2" t="s">
        <v>445</v>
      </c>
      <c r="D99" s="2">
        <v>296602</v>
      </c>
      <c r="E99" s="2" t="s">
        <v>446</v>
      </c>
      <c r="F99" s="2" t="s">
        <v>447</v>
      </c>
      <c r="G99" s="2" t="s">
        <v>448</v>
      </c>
      <c r="H99" s="2">
        <v>76637289868.100006</v>
      </c>
      <c r="I99" s="2">
        <v>1587.5</v>
      </c>
      <c r="J99" s="2">
        <v>26.465473769999999</v>
      </c>
      <c r="K99" s="2">
        <v>618560</v>
      </c>
      <c r="L99" s="2">
        <v>6061518831030</v>
      </c>
      <c r="M99" s="2">
        <v>359854</v>
      </c>
      <c r="N99" s="2" t="s">
        <v>449</v>
      </c>
      <c r="O99" s="2">
        <v>3.6990000000000003E-5</v>
      </c>
      <c r="P99" s="2">
        <v>139861827</v>
      </c>
      <c r="Q99" s="2">
        <v>127</v>
      </c>
    </row>
    <row r="100" spans="1:17" x14ac:dyDescent="0.25">
      <c r="A100" s="1">
        <v>43510</v>
      </c>
      <c r="B100" s="2" t="s">
        <v>450</v>
      </c>
      <c r="C100" s="2" t="s">
        <v>451</v>
      </c>
      <c r="D100" s="2">
        <v>354342</v>
      </c>
      <c r="E100" s="2" t="s">
        <v>452</v>
      </c>
      <c r="F100" s="2" t="s">
        <v>453</v>
      </c>
      <c r="G100" s="2" t="s">
        <v>454</v>
      </c>
      <c r="H100" s="2">
        <v>76665480427.800003</v>
      </c>
      <c r="I100" s="2">
        <v>1762.5</v>
      </c>
      <c r="J100" s="2">
        <v>26.180398</v>
      </c>
      <c r="K100" s="2">
        <v>618710</v>
      </c>
      <c r="L100" s="2">
        <v>6061518831030</v>
      </c>
      <c r="M100" s="2">
        <v>358559</v>
      </c>
      <c r="N100" s="2" t="s">
        <v>455</v>
      </c>
      <c r="O100" s="2">
        <v>2.8350000000000001E-5</v>
      </c>
      <c r="P100" s="2">
        <v>156685823</v>
      </c>
      <c r="Q100" s="2">
        <v>141</v>
      </c>
    </row>
    <row r="101" spans="1:17" x14ac:dyDescent="0.25">
      <c r="A101" s="1">
        <v>43509</v>
      </c>
      <c r="B101" s="2" t="s">
        <v>456</v>
      </c>
      <c r="C101" s="2" t="s">
        <v>457</v>
      </c>
      <c r="D101" s="2">
        <v>352498</v>
      </c>
      <c r="E101" s="2" t="s">
        <v>458</v>
      </c>
      <c r="F101" s="2" t="s">
        <v>459</v>
      </c>
      <c r="G101" s="2" t="s">
        <v>460</v>
      </c>
      <c r="H101" s="2">
        <v>76681934167.899994</v>
      </c>
      <c r="I101" s="2">
        <v>1912.5</v>
      </c>
      <c r="J101" s="2">
        <v>35.637556179999997</v>
      </c>
      <c r="K101" s="2">
        <v>765352</v>
      </c>
      <c r="L101" s="2">
        <v>6061518831030</v>
      </c>
      <c r="M101" s="2">
        <v>417332</v>
      </c>
      <c r="N101" s="2" t="s">
        <v>461</v>
      </c>
      <c r="O101" s="2">
        <v>5.1499999999999998E-5</v>
      </c>
      <c r="P101" s="2">
        <v>176452700</v>
      </c>
      <c r="Q101" s="2">
        <v>153</v>
      </c>
    </row>
    <row r="102" spans="1:17" x14ac:dyDescent="0.25">
      <c r="A102" s="1">
        <v>43508</v>
      </c>
      <c r="B102" s="2" t="s">
        <v>462</v>
      </c>
      <c r="C102" s="2" t="s">
        <v>463</v>
      </c>
      <c r="D102" s="2">
        <v>271445</v>
      </c>
      <c r="E102" s="2" t="s">
        <v>464</v>
      </c>
      <c r="F102" s="2" t="s">
        <v>465</v>
      </c>
      <c r="G102" s="2" t="s">
        <v>466</v>
      </c>
      <c r="H102" s="2">
        <v>76846379159.899994</v>
      </c>
      <c r="I102" s="2">
        <v>1600</v>
      </c>
      <c r="J102" s="2">
        <v>34.316021749999997</v>
      </c>
      <c r="K102" s="2">
        <v>826480</v>
      </c>
      <c r="L102" s="2">
        <v>6061518831030</v>
      </c>
      <c r="M102" s="2">
        <v>381216</v>
      </c>
      <c r="N102" s="2" t="s">
        <v>467</v>
      </c>
      <c r="O102" s="2">
        <v>5.5390000000000003E-5</v>
      </c>
      <c r="P102" s="2">
        <v>167035400</v>
      </c>
      <c r="Q102" s="2">
        <v>128</v>
      </c>
    </row>
    <row r="103" spans="1:17" x14ac:dyDescent="0.25">
      <c r="A103" s="1">
        <v>43507</v>
      </c>
      <c r="B103" s="2" t="s">
        <v>468</v>
      </c>
      <c r="C103" s="2" t="s">
        <v>469</v>
      </c>
      <c r="D103" s="2">
        <v>315580</v>
      </c>
      <c r="E103" s="2" t="s">
        <v>470</v>
      </c>
      <c r="F103" s="2" t="s">
        <v>471</v>
      </c>
      <c r="G103" s="2" t="s">
        <v>472</v>
      </c>
      <c r="H103" s="2">
        <v>76888856803.199997</v>
      </c>
      <c r="I103" s="2">
        <v>1812.5</v>
      </c>
      <c r="J103" s="2">
        <v>23.13798165</v>
      </c>
      <c r="K103" s="2">
        <v>692074</v>
      </c>
      <c r="L103" s="2">
        <v>6061518831030</v>
      </c>
      <c r="M103" s="2">
        <v>347709</v>
      </c>
      <c r="N103" s="2" t="s">
        <v>473</v>
      </c>
      <c r="O103" s="2">
        <v>2.3730000000000001E-5</v>
      </c>
      <c r="P103" s="2">
        <v>158209661</v>
      </c>
      <c r="Q103" s="2">
        <v>145</v>
      </c>
    </row>
    <row r="104" spans="1:17" x14ac:dyDescent="0.25">
      <c r="A104" s="1">
        <v>43506</v>
      </c>
      <c r="B104" s="2" t="s">
        <v>474</v>
      </c>
      <c r="C104" s="2" t="s">
        <v>475</v>
      </c>
      <c r="D104" s="2">
        <v>299469</v>
      </c>
      <c r="E104" s="2" t="s">
        <v>476</v>
      </c>
      <c r="F104" s="2" t="s">
        <v>477</v>
      </c>
      <c r="G104" s="2" t="s">
        <v>478</v>
      </c>
      <c r="H104" s="2">
        <v>76917720908.800003</v>
      </c>
      <c r="I104" s="2">
        <v>1750</v>
      </c>
      <c r="J104" s="2">
        <v>13.62075475</v>
      </c>
      <c r="K104" s="2">
        <v>495946</v>
      </c>
      <c r="L104" s="2">
        <v>5894008795040</v>
      </c>
      <c r="M104" s="2">
        <v>280688</v>
      </c>
      <c r="N104" s="2" t="s">
        <v>479</v>
      </c>
      <c r="O104" s="2">
        <v>1.13E-5</v>
      </c>
      <c r="P104" s="2">
        <v>125893737</v>
      </c>
      <c r="Q104" s="2">
        <v>140</v>
      </c>
    </row>
    <row r="105" spans="1:17" x14ac:dyDescent="0.25">
      <c r="A105" s="1">
        <v>43505</v>
      </c>
      <c r="B105" s="2" t="s">
        <v>480</v>
      </c>
      <c r="C105" s="2" t="s">
        <v>481</v>
      </c>
      <c r="D105" s="2">
        <v>310742</v>
      </c>
      <c r="E105" s="2" t="s">
        <v>482</v>
      </c>
      <c r="F105" s="2" t="s">
        <v>483</v>
      </c>
      <c r="G105" s="2" t="s">
        <v>484</v>
      </c>
      <c r="H105" s="2">
        <v>76917255583.5</v>
      </c>
      <c r="I105" s="2">
        <v>1875</v>
      </c>
      <c r="J105" s="2">
        <v>17.75264078</v>
      </c>
      <c r="K105" s="2">
        <v>564093</v>
      </c>
      <c r="L105" s="2">
        <v>5814661935890</v>
      </c>
      <c r="M105" s="2">
        <v>313982</v>
      </c>
      <c r="N105" s="2" t="s">
        <v>485</v>
      </c>
      <c r="O105" s="2">
        <v>1.664E-5</v>
      </c>
      <c r="P105" s="2">
        <v>140154749</v>
      </c>
      <c r="Q105" s="2">
        <v>150</v>
      </c>
    </row>
    <row r="106" spans="1:17" x14ac:dyDescent="0.25">
      <c r="A106" s="1">
        <v>43504</v>
      </c>
      <c r="B106" s="2" t="s">
        <v>486</v>
      </c>
      <c r="C106" s="2" t="s">
        <v>487</v>
      </c>
      <c r="D106" s="2">
        <v>335117</v>
      </c>
      <c r="E106" s="2" t="s">
        <v>488</v>
      </c>
      <c r="F106" s="2" t="s">
        <v>489</v>
      </c>
      <c r="G106" s="2" t="s">
        <v>490</v>
      </c>
      <c r="H106" s="2">
        <v>76916747168.100006</v>
      </c>
      <c r="I106" s="2">
        <v>2037.5</v>
      </c>
      <c r="J106" s="2">
        <v>20.91053599</v>
      </c>
      <c r="K106" s="2">
        <v>694288</v>
      </c>
      <c r="L106" s="2">
        <v>5814661935890</v>
      </c>
      <c r="M106" s="2">
        <v>397679</v>
      </c>
      <c r="N106" s="2" t="s">
        <v>491</v>
      </c>
      <c r="O106" s="2">
        <v>2.0679999999999999E-5</v>
      </c>
      <c r="P106" s="2">
        <v>160491541</v>
      </c>
      <c r="Q106" s="2">
        <v>163</v>
      </c>
    </row>
    <row r="107" spans="1:17" x14ac:dyDescent="0.25">
      <c r="A107" s="1">
        <v>43503</v>
      </c>
      <c r="B107" s="2" t="s">
        <v>492</v>
      </c>
      <c r="C107" s="2" t="s">
        <v>493</v>
      </c>
      <c r="D107" s="2">
        <v>352872</v>
      </c>
      <c r="E107" s="2" t="s">
        <v>494</v>
      </c>
      <c r="F107" s="2" t="s">
        <v>495</v>
      </c>
      <c r="G107" s="2" t="s">
        <v>496</v>
      </c>
      <c r="H107" s="2">
        <v>76918983426.399994</v>
      </c>
      <c r="I107" s="2">
        <v>2175</v>
      </c>
      <c r="J107" s="2">
        <v>16.74141122</v>
      </c>
      <c r="K107" s="2">
        <v>647026</v>
      </c>
      <c r="L107" s="2">
        <v>5814661935890</v>
      </c>
      <c r="M107" s="2">
        <v>352170</v>
      </c>
      <c r="N107" s="2" t="s">
        <v>497</v>
      </c>
      <c r="O107" s="2">
        <v>1.006E-5</v>
      </c>
      <c r="P107" s="2">
        <v>163945741</v>
      </c>
      <c r="Q107" s="2">
        <v>174</v>
      </c>
    </row>
    <row r="108" spans="1:17" x14ac:dyDescent="0.25">
      <c r="A108" s="1">
        <v>43502</v>
      </c>
      <c r="B108" s="2" t="s">
        <v>498</v>
      </c>
      <c r="C108" s="2" t="s">
        <v>499</v>
      </c>
      <c r="D108" s="2">
        <v>349432</v>
      </c>
      <c r="E108" s="2" t="s">
        <v>500</v>
      </c>
      <c r="F108" s="2" t="s">
        <v>501</v>
      </c>
      <c r="G108" s="2" t="s">
        <v>502</v>
      </c>
      <c r="H108" s="2">
        <v>76974362282.100006</v>
      </c>
      <c r="I108" s="2">
        <v>2050</v>
      </c>
      <c r="J108" s="2">
        <v>21.790517650000002</v>
      </c>
      <c r="K108" s="2">
        <v>687624</v>
      </c>
      <c r="L108" s="2">
        <v>5814661935890</v>
      </c>
      <c r="M108" s="2">
        <v>359783</v>
      </c>
      <c r="N108" s="2" t="s">
        <v>503</v>
      </c>
      <c r="O108" s="2">
        <v>1.3560000000000001E-5</v>
      </c>
      <c r="P108" s="2">
        <v>172260747</v>
      </c>
      <c r="Q108" s="2">
        <v>164</v>
      </c>
    </row>
    <row r="109" spans="1:17" x14ac:dyDescent="0.25">
      <c r="A109" s="1">
        <v>43501</v>
      </c>
      <c r="B109" s="2" t="s">
        <v>504</v>
      </c>
      <c r="C109" s="2" t="s">
        <v>505</v>
      </c>
      <c r="D109" s="2">
        <v>353922</v>
      </c>
      <c r="E109" s="2" t="s">
        <v>506</v>
      </c>
      <c r="F109" s="2" t="s">
        <v>507</v>
      </c>
      <c r="G109" s="2" t="s">
        <v>508</v>
      </c>
      <c r="H109" s="2">
        <v>77049664909.300003</v>
      </c>
      <c r="I109" s="2">
        <v>1837.5</v>
      </c>
      <c r="J109" s="2">
        <v>17.210812910000001</v>
      </c>
      <c r="K109" s="2">
        <v>650507</v>
      </c>
      <c r="L109" s="2">
        <v>5814661935890</v>
      </c>
      <c r="M109" s="2">
        <v>381893</v>
      </c>
      <c r="N109" s="2" t="s">
        <v>509</v>
      </c>
      <c r="O109" s="2">
        <v>1.4070000000000001E-5</v>
      </c>
      <c r="P109" s="2">
        <v>154524678</v>
      </c>
      <c r="Q109" s="2">
        <v>147</v>
      </c>
    </row>
    <row r="110" spans="1:17" x14ac:dyDescent="0.25">
      <c r="A110" s="1">
        <v>43500</v>
      </c>
      <c r="B110" s="2" t="s">
        <v>510</v>
      </c>
      <c r="C110" s="2" t="s">
        <v>511</v>
      </c>
      <c r="D110" s="2">
        <v>335141</v>
      </c>
      <c r="E110" s="2" t="s">
        <v>512</v>
      </c>
      <c r="F110" s="2" t="s">
        <v>513</v>
      </c>
      <c r="G110" s="2" t="s">
        <v>514</v>
      </c>
      <c r="H110" s="2">
        <v>77079768806.899994</v>
      </c>
      <c r="I110" s="2">
        <v>1837.5</v>
      </c>
      <c r="J110" s="2">
        <v>17.088112479999999</v>
      </c>
      <c r="K110" s="2">
        <v>616383</v>
      </c>
      <c r="L110" s="2">
        <v>5814661935890</v>
      </c>
      <c r="M110" s="2">
        <v>337056</v>
      </c>
      <c r="N110" s="2" t="s">
        <v>515</v>
      </c>
      <c r="O110" s="2">
        <v>1.433E-5</v>
      </c>
      <c r="P110" s="2">
        <v>148822584</v>
      </c>
      <c r="Q110" s="2">
        <v>147</v>
      </c>
    </row>
    <row r="111" spans="1:17" x14ac:dyDescent="0.25">
      <c r="A111" s="1">
        <v>43499</v>
      </c>
      <c r="B111" s="2" t="s">
        <v>516</v>
      </c>
      <c r="C111" s="2" t="s">
        <v>517</v>
      </c>
      <c r="D111" s="2">
        <v>300033</v>
      </c>
      <c r="E111" s="2" t="s">
        <v>518</v>
      </c>
      <c r="F111" s="2" t="s">
        <v>519</v>
      </c>
      <c r="G111" s="2" t="s">
        <v>520</v>
      </c>
      <c r="H111" s="2">
        <v>77149132741.899994</v>
      </c>
      <c r="I111" s="2">
        <v>1725</v>
      </c>
      <c r="J111" s="2">
        <v>14.74322284</v>
      </c>
      <c r="K111" s="2">
        <v>521485</v>
      </c>
      <c r="L111" s="2">
        <v>5814661935890</v>
      </c>
      <c r="M111" s="2">
        <v>287332</v>
      </c>
      <c r="N111" s="2" t="s">
        <v>521</v>
      </c>
      <c r="O111" s="2">
        <v>1.5869999999999999E-5</v>
      </c>
      <c r="P111" s="2">
        <v>129099029</v>
      </c>
      <c r="Q111" s="2">
        <v>138</v>
      </c>
    </row>
    <row r="112" spans="1:17" x14ac:dyDescent="0.25">
      <c r="A112" s="1">
        <v>43498</v>
      </c>
      <c r="B112" s="2" t="s">
        <v>522</v>
      </c>
      <c r="C112" s="2" t="s">
        <v>523</v>
      </c>
      <c r="D112" s="2">
        <v>321888</v>
      </c>
      <c r="E112" s="2" t="s">
        <v>524</v>
      </c>
      <c r="F112" s="2" t="s">
        <v>525</v>
      </c>
      <c r="G112" s="2" t="s">
        <v>526</v>
      </c>
      <c r="H112" s="2">
        <v>77170950852.399994</v>
      </c>
      <c r="I112" s="2">
        <v>1800</v>
      </c>
      <c r="J112" s="2">
        <v>18.926184620000001</v>
      </c>
      <c r="K112" s="2">
        <v>554281</v>
      </c>
      <c r="L112" s="2">
        <v>5814661935890</v>
      </c>
      <c r="M112" s="2">
        <v>317385</v>
      </c>
      <c r="N112" s="2" t="s">
        <v>527</v>
      </c>
      <c r="O112" s="2">
        <v>1.6200000000000001E-5</v>
      </c>
      <c r="P112" s="2">
        <v>141312643</v>
      </c>
      <c r="Q112" s="2">
        <v>144</v>
      </c>
    </row>
    <row r="113" spans="1:17" x14ac:dyDescent="0.25">
      <c r="A113" s="1">
        <v>43497</v>
      </c>
      <c r="B113" s="2" t="s">
        <v>528</v>
      </c>
      <c r="C113" s="2" t="s">
        <v>529</v>
      </c>
      <c r="D113" s="2">
        <v>339183</v>
      </c>
      <c r="E113" s="2" t="s">
        <v>530</v>
      </c>
      <c r="F113" s="2" t="s">
        <v>531</v>
      </c>
      <c r="G113" s="2" t="s">
        <v>532</v>
      </c>
      <c r="H113" s="2">
        <v>77186627169.300003</v>
      </c>
      <c r="I113" s="2">
        <v>1975</v>
      </c>
      <c r="J113" s="2">
        <v>33.110767010000004</v>
      </c>
      <c r="K113" s="2">
        <v>665426</v>
      </c>
      <c r="L113" s="2">
        <v>5814661935890</v>
      </c>
      <c r="M113" s="2">
        <v>385299</v>
      </c>
      <c r="N113" s="2" t="s">
        <v>533</v>
      </c>
      <c r="O113" s="2">
        <v>2.4859999999999999E-5</v>
      </c>
      <c r="P113" s="2">
        <v>161885605</v>
      </c>
      <c r="Q113" s="2">
        <v>158</v>
      </c>
    </row>
    <row r="114" spans="1:17" x14ac:dyDescent="0.25">
      <c r="A114" s="1">
        <v>43496</v>
      </c>
      <c r="B114" s="2" t="s">
        <v>534</v>
      </c>
      <c r="C114" s="2" t="s">
        <v>535</v>
      </c>
      <c r="D114" s="2">
        <v>353790</v>
      </c>
      <c r="E114" s="2" t="s">
        <v>536</v>
      </c>
      <c r="F114" s="2" t="s">
        <v>537</v>
      </c>
      <c r="G114" s="2" t="s">
        <v>538</v>
      </c>
      <c r="H114" s="2">
        <v>77228964650.199997</v>
      </c>
      <c r="I114" s="2">
        <v>1937.5</v>
      </c>
      <c r="J114" s="2">
        <v>29.036274290000001</v>
      </c>
      <c r="K114" s="2">
        <v>640465</v>
      </c>
      <c r="L114" s="2">
        <v>5814661935890</v>
      </c>
      <c r="M114" s="2">
        <v>373912</v>
      </c>
      <c r="N114" s="2" t="s">
        <v>539</v>
      </c>
      <c r="O114" s="2">
        <v>2.565E-5</v>
      </c>
      <c r="P114" s="2">
        <v>157390133</v>
      </c>
      <c r="Q114" s="2">
        <v>155</v>
      </c>
    </row>
    <row r="115" spans="1:17" x14ac:dyDescent="0.25">
      <c r="A115" s="1">
        <v>43495</v>
      </c>
      <c r="B115" s="2" t="s">
        <v>540</v>
      </c>
      <c r="C115" s="2" t="s">
        <v>541</v>
      </c>
      <c r="D115" s="2">
        <v>321844</v>
      </c>
      <c r="E115" s="2" t="s">
        <v>542</v>
      </c>
      <c r="F115" s="2" t="s">
        <v>543</v>
      </c>
      <c r="G115" s="2" t="s">
        <v>544</v>
      </c>
      <c r="H115" s="2">
        <v>77274035102.5</v>
      </c>
      <c r="I115" s="2">
        <v>1700</v>
      </c>
      <c r="J115" s="2">
        <v>21.223461690000001</v>
      </c>
      <c r="K115" s="2">
        <v>609610</v>
      </c>
      <c r="L115" s="2">
        <v>5814661935890</v>
      </c>
      <c r="M115" s="2">
        <v>352642</v>
      </c>
      <c r="N115" s="2" t="s">
        <v>545</v>
      </c>
      <c r="O115" s="2">
        <v>2.2799999999999999E-5</v>
      </c>
      <c r="P115" s="2">
        <v>146160284</v>
      </c>
      <c r="Q115" s="2">
        <v>136</v>
      </c>
    </row>
    <row r="116" spans="1:17" x14ac:dyDescent="0.25">
      <c r="A116" s="1">
        <v>43494</v>
      </c>
      <c r="B116" s="2" t="s">
        <v>546</v>
      </c>
      <c r="C116" s="2" t="s">
        <v>547</v>
      </c>
      <c r="D116" s="2">
        <v>326016</v>
      </c>
      <c r="E116" s="2" t="s">
        <v>548</v>
      </c>
      <c r="F116" s="2" t="s">
        <v>549</v>
      </c>
      <c r="G116" s="2" t="s">
        <v>550</v>
      </c>
      <c r="H116" s="2">
        <v>77354440681.899994</v>
      </c>
      <c r="I116" s="2">
        <v>1825</v>
      </c>
      <c r="J116" s="2">
        <v>23.149801490000002</v>
      </c>
      <c r="K116" s="2">
        <v>626793</v>
      </c>
      <c r="L116" s="2">
        <v>5814661935890</v>
      </c>
      <c r="M116" s="2">
        <v>362790</v>
      </c>
      <c r="N116" s="2" t="s">
        <v>551</v>
      </c>
      <c r="O116" s="2">
        <v>2.652E-5</v>
      </c>
      <c r="P116" s="2">
        <v>147492527</v>
      </c>
      <c r="Q116" s="2">
        <v>146</v>
      </c>
    </row>
    <row r="117" spans="1:17" x14ac:dyDescent="0.25">
      <c r="A117" s="1">
        <v>43493</v>
      </c>
      <c r="B117" s="2" t="s">
        <v>552</v>
      </c>
      <c r="C117" s="2" t="s">
        <v>553</v>
      </c>
      <c r="D117" s="2">
        <v>307917</v>
      </c>
      <c r="E117" s="2" t="s">
        <v>554</v>
      </c>
      <c r="F117" s="2" t="s">
        <v>555</v>
      </c>
      <c r="G117" s="2" t="s">
        <v>556</v>
      </c>
      <c r="H117" s="2">
        <v>77417225935.199997</v>
      </c>
      <c r="I117" s="2">
        <v>1812.5</v>
      </c>
      <c r="J117" s="2">
        <v>24.16321392</v>
      </c>
      <c r="K117" s="2">
        <v>636805</v>
      </c>
      <c r="L117" s="2">
        <v>5836655168810</v>
      </c>
      <c r="M117" s="2">
        <v>368732</v>
      </c>
      <c r="N117" s="2" t="s">
        <v>557</v>
      </c>
      <c r="O117" s="2">
        <v>2.8540000000000001E-5</v>
      </c>
      <c r="P117" s="2">
        <v>148283441</v>
      </c>
      <c r="Q117" s="2">
        <v>145</v>
      </c>
    </row>
    <row r="118" spans="1:17" x14ac:dyDescent="0.25">
      <c r="A118" s="1">
        <v>43492</v>
      </c>
      <c r="B118" s="2" t="s">
        <v>558</v>
      </c>
      <c r="C118" s="2" t="s">
        <v>559</v>
      </c>
      <c r="D118" s="2">
        <v>276514</v>
      </c>
      <c r="E118" s="2" t="s">
        <v>560</v>
      </c>
      <c r="F118" s="2" t="s">
        <v>561</v>
      </c>
      <c r="G118" s="2" t="s">
        <v>562</v>
      </c>
      <c r="H118" s="2">
        <v>77525884655.899994</v>
      </c>
      <c r="I118" s="2">
        <v>1712.5</v>
      </c>
      <c r="J118" s="2">
        <v>15.90784813</v>
      </c>
      <c r="K118" s="2">
        <v>496688</v>
      </c>
      <c r="L118" s="2">
        <v>5883988430960</v>
      </c>
      <c r="M118" s="2">
        <v>292177</v>
      </c>
      <c r="N118" s="2" t="s">
        <v>563</v>
      </c>
      <c r="O118" s="2">
        <v>1.5130000000000001E-5</v>
      </c>
      <c r="P118" s="2">
        <v>120730266</v>
      </c>
      <c r="Q118" s="2">
        <v>137</v>
      </c>
    </row>
    <row r="119" spans="1:17" x14ac:dyDescent="0.25">
      <c r="A119" s="1">
        <v>43491</v>
      </c>
      <c r="B119" s="2" t="s">
        <v>564</v>
      </c>
      <c r="C119" s="2" t="s">
        <v>565</v>
      </c>
      <c r="D119" s="2">
        <v>288135</v>
      </c>
      <c r="E119" s="2" t="s">
        <v>566</v>
      </c>
      <c r="F119" s="2" t="s">
        <v>567</v>
      </c>
      <c r="G119" s="2" t="s">
        <v>568</v>
      </c>
      <c r="H119" s="2">
        <v>77555352394.199997</v>
      </c>
      <c r="I119" s="2">
        <v>1875</v>
      </c>
      <c r="J119" s="2">
        <v>19.880199099999999</v>
      </c>
      <c r="K119" s="2">
        <v>585767</v>
      </c>
      <c r="L119" s="2">
        <v>5883988430960</v>
      </c>
      <c r="M119" s="2">
        <v>349573</v>
      </c>
      <c r="N119" s="2" t="s">
        <v>569</v>
      </c>
      <c r="O119" s="2">
        <v>2.0720000000000002E-5</v>
      </c>
      <c r="P119" s="2">
        <v>147110319</v>
      </c>
      <c r="Q119" s="2">
        <v>150</v>
      </c>
    </row>
    <row r="120" spans="1:17" x14ac:dyDescent="0.25">
      <c r="A120" s="1">
        <v>43490</v>
      </c>
      <c r="B120" s="2" t="s">
        <v>570</v>
      </c>
      <c r="C120" s="2" t="s">
        <v>571</v>
      </c>
      <c r="D120" s="2">
        <v>300947</v>
      </c>
      <c r="E120" s="2" t="s">
        <v>572</v>
      </c>
      <c r="F120" s="2" t="s">
        <v>573</v>
      </c>
      <c r="G120" s="2" t="s">
        <v>574</v>
      </c>
      <c r="H120" s="2">
        <v>77588346953.699997</v>
      </c>
      <c r="I120" s="2">
        <v>1725</v>
      </c>
      <c r="J120" s="2">
        <v>24.823392219999999</v>
      </c>
      <c r="K120" s="2">
        <v>627186</v>
      </c>
      <c r="L120" s="2">
        <v>5883988430960</v>
      </c>
      <c r="M120" s="2">
        <v>383362</v>
      </c>
      <c r="N120" s="2" t="s">
        <v>575</v>
      </c>
      <c r="O120" s="2">
        <v>2.72E-5</v>
      </c>
      <c r="P120" s="2">
        <v>140395687</v>
      </c>
      <c r="Q120" s="2">
        <v>138</v>
      </c>
    </row>
    <row r="121" spans="1:17" x14ac:dyDescent="0.25">
      <c r="A121" s="1">
        <v>43489</v>
      </c>
      <c r="B121" s="2" t="s">
        <v>576</v>
      </c>
      <c r="C121" s="2" t="s">
        <v>577</v>
      </c>
      <c r="D121" s="2">
        <v>307984</v>
      </c>
      <c r="E121" s="2" t="s">
        <v>578</v>
      </c>
      <c r="F121" s="2" t="s">
        <v>579</v>
      </c>
      <c r="G121" s="2" t="s">
        <v>580</v>
      </c>
      <c r="H121" s="2">
        <v>77635098187.5</v>
      </c>
      <c r="I121" s="2">
        <v>2024.9999992099999</v>
      </c>
      <c r="J121" s="2">
        <v>22.988993959999998</v>
      </c>
      <c r="K121" s="2">
        <v>631403</v>
      </c>
      <c r="L121" s="2">
        <v>5883988430960</v>
      </c>
      <c r="M121" s="2">
        <v>355748</v>
      </c>
      <c r="N121" s="2" t="s">
        <v>581</v>
      </c>
      <c r="O121" s="2">
        <v>2.4810000000000001E-5</v>
      </c>
      <c r="P121" s="2">
        <v>147638496</v>
      </c>
      <c r="Q121" s="2">
        <v>162</v>
      </c>
    </row>
    <row r="122" spans="1:17" x14ac:dyDescent="0.25">
      <c r="A122" s="1">
        <v>43488</v>
      </c>
      <c r="B122" s="2" t="s">
        <v>582</v>
      </c>
      <c r="C122" s="2" t="s">
        <v>583</v>
      </c>
      <c r="D122" s="2">
        <v>293348</v>
      </c>
      <c r="E122" s="2" t="s">
        <v>584</v>
      </c>
      <c r="F122" s="2" t="s">
        <v>585</v>
      </c>
      <c r="G122" s="2" t="s">
        <v>586</v>
      </c>
      <c r="H122" s="2">
        <v>77654134683</v>
      </c>
      <c r="I122" s="2">
        <v>1825</v>
      </c>
      <c r="J122" s="2">
        <v>22.672780960000001</v>
      </c>
      <c r="K122" s="2">
        <v>681839</v>
      </c>
      <c r="L122" s="2">
        <v>5883988430960</v>
      </c>
      <c r="M122" s="2">
        <v>381919</v>
      </c>
      <c r="N122" s="2" t="s">
        <v>587</v>
      </c>
      <c r="O122" s="2">
        <v>2.3119999999999999E-5</v>
      </c>
      <c r="P122" s="2">
        <v>149812261</v>
      </c>
      <c r="Q122" s="2">
        <v>146</v>
      </c>
    </row>
    <row r="123" spans="1:17" x14ac:dyDescent="0.25">
      <c r="A123" s="1">
        <v>43487</v>
      </c>
      <c r="B123" s="2" t="s">
        <v>588</v>
      </c>
      <c r="C123" s="2" t="s">
        <v>589</v>
      </c>
      <c r="D123" s="2">
        <v>295910</v>
      </c>
      <c r="E123" s="2" t="s">
        <v>590</v>
      </c>
      <c r="F123" s="2" t="s">
        <v>591</v>
      </c>
      <c r="G123" s="2" t="s">
        <v>592</v>
      </c>
      <c r="H123" s="2">
        <v>77691511066.800003</v>
      </c>
      <c r="I123" s="2">
        <v>1625</v>
      </c>
      <c r="J123" s="2">
        <v>20.900365399999998</v>
      </c>
      <c r="K123" s="2">
        <v>598611</v>
      </c>
      <c r="L123" s="2">
        <v>5883988430960</v>
      </c>
      <c r="M123" s="2">
        <v>340823</v>
      </c>
      <c r="N123" s="2" t="s">
        <v>593</v>
      </c>
      <c r="O123" s="2">
        <v>1.91E-5</v>
      </c>
      <c r="P123" s="2">
        <v>137183139</v>
      </c>
      <c r="Q123" s="2">
        <v>130</v>
      </c>
    </row>
    <row r="124" spans="1:17" x14ac:dyDescent="0.25">
      <c r="A124" s="1">
        <v>43486</v>
      </c>
      <c r="B124" s="2" t="s">
        <v>594</v>
      </c>
      <c r="C124" s="2" t="s">
        <v>595</v>
      </c>
      <c r="D124" s="2">
        <v>315052</v>
      </c>
      <c r="E124" s="2" t="s">
        <v>596</v>
      </c>
      <c r="F124" s="2" t="s">
        <v>597</v>
      </c>
      <c r="G124" s="2" t="s">
        <v>598</v>
      </c>
      <c r="H124" s="2">
        <v>77842614010.5</v>
      </c>
      <c r="I124" s="2">
        <v>1875</v>
      </c>
      <c r="J124" s="2">
        <v>19.919075159999998</v>
      </c>
      <c r="K124" s="2">
        <v>596521</v>
      </c>
      <c r="L124" s="2">
        <v>5883988430960</v>
      </c>
      <c r="M124" s="2">
        <v>339474</v>
      </c>
      <c r="N124" s="2" t="s">
        <v>599</v>
      </c>
      <c r="O124" s="2">
        <v>1.342E-5</v>
      </c>
      <c r="P124" s="2">
        <v>141477557</v>
      </c>
      <c r="Q124" s="2">
        <v>150</v>
      </c>
    </row>
    <row r="125" spans="1:17" x14ac:dyDescent="0.25">
      <c r="A125" s="1">
        <v>43485</v>
      </c>
      <c r="B125" s="2" t="s">
        <v>600</v>
      </c>
      <c r="C125" s="2" t="s">
        <v>601</v>
      </c>
      <c r="D125" s="2">
        <v>293961</v>
      </c>
      <c r="E125" s="2" t="s">
        <v>602</v>
      </c>
      <c r="F125" s="2" t="s">
        <v>603</v>
      </c>
      <c r="G125" s="2" t="s">
        <v>604</v>
      </c>
      <c r="H125" s="2">
        <v>77871228931.800003</v>
      </c>
      <c r="I125" s="2">
        <v>1962.5</v>
      </c>
      <c r="J125" s="2">
        <v>14.42266508</v>
      </c>
      <c r="K125" s="2">
        <v>514507</v>
      </c>
      <c r="L125" s="2">
        <v>5883988430960</v>
      </c>
      <c r="M125" s="2">
        <v>281008</v>
      </c>
      <c r="N125" s="2" t="s">
        <v>605</v>
      </c>
      <c r="O125" s="2">
        <v>1.026E-5</v>
      </c>
      <c r="P125" s="2">
        <v>126508254</v>
      </c>
      <c r="Q125" s="2">
        <v>157</v>
      </c>
    </row>
    <row r="126" spans="1:17" x14ac:dyDescent="0.25">
      <c r="A126" s="1">
        <v>43484</v>
      </c>
      <c r="B126" s="2" t="s">
        <v>606</v>
      </c>
      <c r="C126" s="2" t="s">
        <v>607</v>
      </c>
      <c r="D126" s="2">
        <v>282055</v>
      </c>
      <c r="E126" s="2" t="s">
        <v>608</v>
      </c>
      <c r="F126" s="2" t="s">
        <v>609</v>
      </c>
      <c r="G126" s="2" t="s">
        <v>610</v>
      </c>
      <c r="H126" s="2">
        <v>77904110748.5</v>
      </c>
      <c r="I126" s="2">
        <v>1662.5</v>
      </c>
      <c r="J126" s="2">
        <v>17.577320619999998</v>
      </c>
      <c r="K126" s="2">
        <v>526853</v>
      </c>
      <c r="L126" s="2">
        <v>5883988430960</v>
      </c>
      <c r="M126" s="2">
        <v>302288</v>
      </c>
      <c r="N126" s="2" t="s">
        <v>611</v>
      </c>
      <c r="O126" s="2">
        <v>1.27E-5</v>
      </c>
      <c r="P126" s="2">
        <v>127563234</v>
      </c>
      <c r="Q126" s="2">
        <v>133</v>
      </c>
    </row>
    <row r="127" spans="1:17" x14ac:dyDescent="0.25">
      <c r="A127" s="1">
        <v>43483</v>
      </c>
      <c r="B127" s="2" t="s">
        <v>612</v>
      </c>
      <c r="C127" s="2" t="s">
        <v>613</v>
      </c>
      <c r="D127" s="2">
        <v>305827</v>
      </c>
      <c r="E127" s="2" t="s">
        <v>614</v>
      </c>
      <c r="F127" s="2" t="s">
        <v>615</v>
      </c>
      <c r="G127" s="2" t="s">
        <v>616</v>
      </c>
      <c r="H127" s="2">
        <v>77929118817</v>
      </c>
      <c r="I127" s="2">
        <v>1725</v>
      </c>
      <c r="J127" s="2">
        <v>20.917977489999998</v>
      </c>
      <c r="K127" s="2">
        <v>625357</v>
      </c>
      <c r="L127" s="2">
        <v>5883988430960</v>
      </c>
      <c r="M127" s="2">
        <v>373567</v>
      </c>
      <c r="N127" s="2" t="s">
        <v>617</v>
      </c>
      <c r="O127" s="2">
        <v>2.0339999999999998E-5</v>
      </c>
      <c r="P127" s="2">
        <v>143242068</v>
      </c>
      <c r="Q127" s="2">
        <v>138</v>
      </c>
    </row>
    <row r="128" spans="1:17" x14ac:dyDescent="0.25">
      <c r="A128" s="1">
        <v>43482</v>
      </c>
      <c r="B128" s="2" t="s">
        <v>618</v>
      </c>
      <c r="C128" s="2" t="s">
        <v>619</v>
      </c>
      <c r="D128" s="2">
        <v>296568</v>
      </c>
      <c r="E128" s="2" t="s">
        <v>620</v>
      </c>
      <c r="F128" s="2" t="s">
        <v>621</v>
      </c>
      <c r="G128" s="2" t="s">
        <v>622</v>
      </c>
      <c r="H128" s="2">
        <v>77962661640.899994</v>
      </c>
      <c r="I128" s="2">
        <v>1587.5</v>
      </c>
      <c r="J128" s="2">
        <v>23.487595890000001</v>
      </c>
      <c r="K128" s="2">
        <v>610163</v>
      </c>
      <c r="L128" s="2">
        <v>5883988430960</v>
      </c>
      <c r="M128" s="2">
        <v>349066</v>
      </c>
      <c r="N128" s="2" t="s">
        <v>623</v>
      </c>
      <c r="O128" s="2">
        <v>2.9879999999999999E-5</v>
      </c>
      <c r="P128" s="2">
        <v>139346201</v>
      </c>
      <c r="Q128" s="2">
        <v>127</v>
      </c>
    </row>
    <row r="129" spans="1:17" x14ac:dyDescent="0.25">
      <c r="A129" s="1">
        <v>43481</v>
      </c>
      <c r="B129" s="2" t="s">
        <v>624</v>
      </c>
      <c r="C129" s="2" t="s">
        <v>625</v>
      </c>
      <c r="D129" s="2">
        <v>305569</v>
      </c>
      <c r="E129" s="2" t="s">
        <v>626</v>
      </c>
      <c r="F129" s="2" t="s">
        <v>627</v>
      </c>
      <c r="G129" s="2" t="s">
        <v>628</v>
      </c>
      <c r="H129" s="2">
        <v>78003429720.399994</v>
      </c>
      <c r="I129" s="2">
        <v>1662.5</v>
      </c>
      <c r="J129" s="2">
        <v>25.079279629999998</v>
      </c>
      <c r="K129" s="2">
        <v>653019</v>
      </c>
      <c r="L129" s="2">
        <v>5883988430960</v>
      </c>
      <c r="M129" s="2">
        <v>376408</v>
      </c>
      <c r="N129" s="2" t="s">
        <v>629</v>
      </c>
      <c r="O129" s="2">
        <v>2.938E-5</v>
      </c>
      <c r="P129" s="2">
        <v>147909050</v>
      </c>
      <c r="Q129" s="2">
        <v>133</v>
      </c>
    </row>
    <row r="130" spans="1:17" x14ac:dyDescent="0.25">
      <c r="A130" s="1">
        <v>43480</v>
      </c>
      <c r="B130" s="2" t="s">
        <v>630</v>
      </c>
      <c r="C130" s="2" t="s">
        <v>631</v>
      </c>
      <c r="D130" s="2">
        <v>302147</v>
      </c>
      <c r="E130" s="2" t="s">
        <v>632</v>
      </c>
      <c r="F130" s="2" t="s">
        <v>633</v>
      </c>
      <c r="G130" s="2" t="s">
        <v>634</v>
      </c>
      <c r="H130" s="2">
        <v>78021972177</v>
      </c>
      <c r="I130" s="2">
        <v>1650</v>
      </c>
      <c r="J130" s="2">
        <v>21.203589489999999</v>
      </c>
      <c r="K130" s="2">
        <v>618216</v>
      </c>
      <c r="L130" s="2">
        <v>5883988430960</v>
      </c>
      <c r="M130" s="2">
        <v>352286</v>
      </c>
      <c r="N130" s="2" t="s">
        <v>635</v>
      </c>
      <c r="O130" s="2">
        <v>2.0000000000000002E-5</v>
      </c>
      <c r="P130" s="2">
        <v>140584600</v>
      </c>
      <c r="Q130" s="2">
        <v>132</v>
      </c>
    </row>
    <row r="131" spans="1:17" x14ac:dyDescent="0.25">
      <c r="A131" s="1">
        <v>43479</v>
      </c>
      <c r="B131" s="2" t="s">
        <v>636</v>
      </c>
      <c r="C131" s="2" t="s">
        <v>637</v>
      </c>
      <c r="D131" s="2">
        <v>326536</v>
      </c>
      <c r="E131" s="2" t="s">
        <v>638</v>
      </c>
      <c r="F131" s="2" t="s">
        <v>639</v>
      </c>
      <c r="G131" s="2" t="s">
        <v>640</v>
      </c>
      <c r="H131" s="2">
        <v>77976537148.100006</v>
      </c>
      <c r="I131" s="2">
        <v>1862.5</v>
      </c>
      <c r="J131" s="2">
        <v>19.994253430000001</v>
      </c>
      <c r="K131" s="2">
        <v>599656</v>
      </c>
      <c r="L131" s="2">
        <v>5862614531730</v>
      </c>
      <c r="M131" s="2">
        <v>341391</v>
      </c>
      <c r="N131" s="2" t="s">
        <v>641</v>
      </c>
      <c r="O131" s="2">
        <v>1.624E-5</v>
      </c>
      <c r="P131" s="2">
        <v>142540547</v>
      </c>
      <c r="Q131" s="2">
        <v>149</v>
      </c>
    </row>
    <row r="132" spans="1:17" x14ac:dyDescent="0.25">
      <c r="A132" s="1">
        <v>43478</v>
      </c>
      <c r="B132" s="2" t="s">
        <v>642</v>
      </c>
      <c r="C132" s="2" t="s">
        <v>643</v>
      </c>
      <c r="D132" s="2">
        <v>276860</v>
      </c>
      <c r="E132" s="2" t="s">
        <v>644</v>
      </c>
      <c r="F132" s="2" t="s">
        <v>645</v>
      </c>
      <c r="G132" s="2" t="s">
        <v>646</v>
      </c>
      <c r="H132" s="2">
        <v>77994795431</v>
      </c>
      <c r="I132" s="2">
        <v>1712.5</v>
      </c>
      <c r="J132" s="2">
        <v>14.17709438</v>
      </c>
      <c r="K132" s="2">
        <v>485001</v>
      </c>
      <c r="L132" s="2">
        <v>5618595848850</v>
      </c>
      <c r="M132" s="2">
        <v>277911</v>
      </c>
      <c r="N132" s="2" t="s">
        <v>647</v>
      </c>
      <c r="O132" s="2">
        <v>1.3679999999999999E-5</v>
      </c>
      <c r="P132" s="2">
        <v>116911812</v>
      </c>
      <c r="Q132" s="2">
        <v>137</v>
      </c>
    </row>
    <row r="133" spans="1:17" x14ac:dyDescent="0.25">
      <c r="A133" s="1">
        <v>43477</v>
      </c>
      <c r="B133" s="2" t="s">
        <v>648</v>
      </c>
      <c r="C133" s="2" t="s">
        <v>649</v>
      </c>
      <c r="D133" s="2">
        <v>281364</v>
      </c>
      <c r="E133" s="2" t="s">
        <v>650</v>
      </c>
      <c r="F133" s="2" t="s">
        <v>651</v>
      </c>
      <c r="G133" s="2" t="s">
        <v>652</v>
      </c>
      <c r="H133" s="2">
        <v>78036316617.899994</v>
      </c>
      <c r="I133" s="2">
        <v>1725</v>
      </c>
      <c r="J133" s="2">
        <v>17.122739920000001</v>
      </c>
      <c r="K133" s="2">
        <v>511636</v>
      </c>
      <c r="L133" s="2">
        <v>5618595848850</v>
      </c>
      <c r="M133" s="2">
        <v>298379</v>
      </c>
      <c r="N133" s="2" t="s">
        <v>653</v>
      </c>
      <c r="O133" s="2">
        <v>2.0000000000000002E-5</v>
      </c>
      <c r="P133" s="2">
        <v>123746623</v>
      </c>
      <c r="Q133" s="2">
        <v>138</v>
      </c>
    </row>
    <row r="134" spans="1:17" x14ac:dyDescent="0.25">
      <c r="A134" s="1">
        <v>43476</v>
      </c>
      <c r="B134" s="2" t="s">
        <v>654</v>
      </c>
      <c r="C134" s="2" t="s">
        <v>655</v>
      </c>
      <c r="D134" s="2">
        <v>308224</v>
      </c>
      <c r="E134" s="2" t="s">
        <v>656</v>
      </c>
      <c r="F134" s="2" t="s">
        <v>657</v>
      </c>
      <c r="G134" s="2" t="s">
        <v>658</v>
      </c>
      <c r="H134" s="2">
        <v>78067009293.199997</v>
      </c>
      <c r="I134" s="2">
        <v>1850</v>
      </c>
      <c r="J134" s="2">
        <v>24.25918558</v>
      </c>
      <c r="K134" s="2">
        <v>623737</v>
      </c>
      <c r="L134" s="2">
        <v>5618595848850</v>
      </c>
      <c r="M134" s="2">
        <v>378600</v>
      </c>
      <c r="N134" s="2" t="s">
        <v>659</v>
      </c>
      <c r="O134" s="2">
        <v>2.9879999999999999E-5</v>
      </c>
      <c r="P134" s="2">
        <v>145508376</v>
      </c>
      <c r="Q134" s="2">
        <v>148</v>
      </c>
    </row>
    <row r="135" spans="1:17" x14ac:dyDescent="0.25">
      <c r="A135" s="1">
        <v>43475</v>
      </c>
      <c r="B135" s="2" t="s">
        <v>660</v>
      </c>
      <c r="C135" s="2" t="s">
        <v>661</v>
      </c>
      <c r="D135" s="2">
        <v>327182</v>
      </c>
      <c r="E135" s="2" t="s">
        <v>662</v>
      </c>
      <c r="F135" s="2" t="s">
        <v>663</v>
      </c>
      <c r="G135" s="2" t="s">
        <v>664</v>
      </c>
      <c r="H135" s="2">
        <v>78136690881.399994</v>
      </c>
      <c r="I135" s="2">
        <v>1950</v>
      </c>
      <c r="J135" s="2">
        <v>25.845150480000001</v>
      </c>
      <c r="K135" s="2">
        <v>646794</v>
      </c>
      <c r="L135" s="2">
        <v>5618595848850</v>
      </c>
      <c r="M135" s="2">
        <v>378849</v>
      </c>
      <c r="N135" s="2" t="s">
        <v>665</v>
      </c>
      <c r="O135" s="2">
        <v>2.7739999999999999E-5</v>
      </c>
      <c r="P135" s="2">
        <v>151456004</v>
      </c>
      <c r="Q135" s="2">
        <v>156</v>
      </c>
    </row>
    <row r="136" spans="1:17" x14ac:dyDescent="0.25">
      <c r="A136" s="1">
        <v>43474</v>
      </c>
      <c r="B136" s="2" t="s">
        <v>666</v>
      </c>
      <c r="C136" s="2" t="s">
        <v>667</v>
      </c>
      <c r="D136" s="2">
        <v>318892</v>
      </c>
      <c r="E136" s="2" t="s">
        <v>668</v>
      </c>
      <c r="F136" s="2" t="s">
        <v>669</v>
      </c>
      <c r="G136" s="2" t="s">
        <v>670</v>
      </c>
      <c r="H136" s="2">
        <v>78853455823.300003</v>
      </c>
      <c r="I136" s="2">
        <v>2050</v>
      </c>
      <c r="J136" s="2">
        <v>24.169786989999999</v>
      </c>
      <c r="K136" s="2">
        <v>615701</v>
      </c>
      <c r="L136" s="2">
        <v>5618595848850</v>
      </c>
      <c r="M136" s="2">
        <v>349587</v>
      </c>
      <c r="N136" s="2" t="s">
        <v>671</v>
      </c>
      <c r="O136" s="2">
        <v>2.6290000000000001E-5</v>
      </c>
      <c r="P136" s="2">
        <v>144998601</v>
      </c>
      <c r="Q136" s="2">
        <v>164</v>
      </c>
    </row>
    <row r="137" spans="1:17" x14ac:dyDescent="0.25">
      <c r="A137" s="1">
        <v>43473</v>
      </c>
      <c r="B137" s="2" t="s">
        <v>672</v>
      </c>
      <c r="C137" s="2" t="s">
        <v>673</v>
      </c>
      <c r="D137" s="2">
        <v>318355</v>
      </c>
      <c r="E137" s="2" t="s">
        <v>674</v>
      </c>
      <c r="F137" s="2" t="s">
        <v>675</v>
      </c>
      <c r="G137" s="2" t="s">
        <v>676</v>
      </c>
      <c r="H137" s="2">
        <v>78849277414.600006</v>
      </c>
      <c r="I137" s="2">
        <v>2112.5</v>
      </c>
      <c r="J137" s="2">
        <v>20.946834920000001</v>
      </c>
      <c r="K137" s="2">
        <v>618872</v>
      </c>
      <c r="L137" s="2">
        <v>5618595848850</v>
      </c>
      <c r="M137" s="2">
        <v>348497</v>
      </c>
      <c r="N137" s="2" t="s">
        <v>677</v>
      </c>
      <c r="O137" s="2">
        <v>2.1659999999999999E-5</v>
      </c>
      <c r="P137" s="2">
        <v>146680170</v>
      </c>
      <c r="Q137" s="2">
        <v>169</v>
      </c>
    </row>
    <row r="138" spans="1:17" x14ac:dyDescent="0.25">
      <c r="A138" s="1">
        <v>43472</v>
      </c>
      <c r="B138" s="2" t="s">
        <v>678</v>
      </c>
      <c r="C138" s="2" t="s">
        <v>679</v>
      </c>
      <c r="D138" s="2">
        <v>284641</v>
      </c>
      <c r="E138" s="2" t="s">
        <v>680</v>
      </c>
      <c r="F138" s="2" t="s">
        <v>681</v>
      </c>
      <c r="G138" s="2" t="s">
        <v>682</v>
      </c>
      <c r="H138" s="2">
        <v>78883598159.300003</v>
      </c>
      <c r="I138" s="2">
        <v>1762.5</v>
      </c>
      <c r="J138" s="2">
        <v>23.87585077</v>
      </c>
      <c r="K138" s="2">
        <v>605732</v>
      </c>
      <c r="L138" s="2">
        <v>5618595848850</v>
      </c>
      <c r="M138" s="2">
        <v>335194</v>
      </c>
      <c r="N138" s="2" t="s">
        <v>683</v>
      </c>
      <c r="O138" s="2">
        <v>2.0290000000000001E-5</v>
      </c>
      <c r="P138" s="2">
        <v>138850137</v>
      </c>
      <c r="Q138" s="2">
        <v>141</v>
      </c>
    </row>
    <row r="139" spans="1:17" x14ac:dyDescent="0.25">
      <c r="A139" s="1">
        <v>43471</v>
      </c>
      <c r="B139" s="2" t="s">
        <v>684</v>
      </c>
      <c r="C139" s="2" t="s">
        <v>685</v>
      </c>
      <c r="D139" s="2">
        <v>258381</v>
      </c>
      <c r="E139" s="2" t="s">
        <v>686</v>
      </c>
      <c r="F139" s="2" t="s">
        <v>687</v>
      </c>
      <c r="G139" s="2" t="s">
        <v>688</v>
      </c>
      <c r="H139" s="2">
        <v>78930311727.800003</v>
      </c>
      <c r="I139" s="2">
        <v>1762.5</v>
      </c>
      <c r="J139" s="2">
        <v>16.59508434</v>
      </c>
      <c r="K139" s="2">
        <v>513105</v>
      </c>
      <c r="L139" s="2">
        <v>5618595848850</v>
      </c>
      <c r="M139" s="2">
        <v>288814</v>
      </c>
      <c r="N139" s="2" t="s">
        <v>689</v>
      </c>
      <c r="O139" s="2">
        <v>1.039E-5</v>
      </c>
      <c r="P139" s="2">
        <v>116561230</v>
      </c>
      <c r="Q139" s="2">
        <v>141</v>
      </c>
    </row>
    <row r="140" spans="1:17" x14ac:dyDescent="0.25">
      <c r="A140" s="1">
        <v>43470</v>
      </c>
      <c r="B140" s="2" t="s">
        <v>690</v>
      </c>
      <c r="C140" s="2" t="s">
        <v>691</v>
      </c>
      <c r="D140" s="2">
        <v>265029</v>
      </c>
      <c r="E140" s="2" t="s">
        <v>692</v>
      </c>
      <c r="F140" s="2" t="s">
        <v>693</v>
      </c>
      <c r="G140" s="2" t="s">
        <v>694</v>
      </c>
      <c r="H140" s="2">
        <v>78947970033.699997</v>
      </c>
      <c r="I140" s="2">
        <v>2037.5</v>
      </c>
      <c r="J140" s="2">
        <v>12.27107591</v>
      </c>
      <c r="K140" s="2">
        <v>510116</v>
      </c>
      <c r="L140" s="2">
        <v>5618595848850</v>
      </c>
      <c r="M140" s="2">
        <v>286539</v>
      </c>
      <c r="N140" s="2" t="s">
        <v>695</v>
      </c>
      <c r="O140" s="2">
        <v>7.5000000000000002E-6</v>
      </c>
      <c r="P140" s="2">
        <v>132510169</v>
      </c>
      <c r="Q140" s="2">
        <v>163</v>
      </c>
    </row>
    <row r="141" spans="1:17" x14ac:dyDescent="0.25">
      <c r="A141" s="1">
        <v>43469</v>
      </c>
      <c r="B141" s="2" t="s">
        <v>696</v>
      </c>
      <c r="C141" s="2" t="s">
        <v>697</v>
      </c>
      <c r="D141" s="2">
        <v>281623</v>
      </c>
      <c r="E141" s="2" t="s">
        <v>698</v>
      </c>
      <c r="F141" s="2" t="s">
        <v>699</v>
      </c>
      <c r="G141" s="2" t="s">
        <v>700</v>
      </c>
      <c r="H141" s="2">
        <v>78959175339.600006</v>
      </c>
      <c r="I141" s="2">
        <v>1862.5</v>
      </c>
      <c r="J141" s="2">
        <v>19.579250170000002</v>
      </c>
      <c r="K141" s="2">
        <v>588155</v>
      </c>
      <c r="L141" s="2">
        <v>5618595848850</v>
      </c>
      <c r="M141" s="2">
        <v>346462</v>
      </c>
      <c r="N141" s="2" t="s">
        <v>701</v>
      </c>
      <c r="O141" s="2">
        <v>1.3519999999999999E-5</v>
      </c>
      <c r="P141" s="2">
        <v>142920615</v>
      </c>
      <c r="Q141" s="2">
        <v>149</v>
      </c>
    </row>
    <row r="142" spans="1:17" x14ac:dyDescent="0.25">
      <c r="A142" s="1">
        <v>43468</v>
      </c>
      <c r="B142" s="2" t="s">
        <v>702</v>
      </c>
      <c r="C142" s="2" t="s">
        <v>703</v>
      </c>
      <c r="D142" s="2">
        <v>290861</v>
      </c>
      <c r="E142" s="2" t="s">
        <v>704</v>
      </c>
      <c r="F142" s="2" t="s">
        <v>705</v>
      </c>
      <c r="G142" s="2" t="s">
        <v>706</v>
      </c>
      <c r="H142" s="2">
        <v>78982271435.899994</v>
      </c>
      <c r="I142" s="2">
        <v>1937.5</v>
      </c>
      <c r="J142" s="2">
        <v>19.167838199999998</v>
      </c>
      <c r="K142" s="2">
        <v>602499</v>
      </c>
      <c r="L142" s="2">
        <v>5618595848850</v>
      </c>
      <c r="M142" s="2">
        <v>337440</v>
      </c>
      <c r="N142" s="2" t="s">
        <v>707</v>
      </c>
      <c r="O142" s="2">
        <v>1.5279999999999999E-5</v>
      </c>
      <c r="P142" s="2">
        <v>149764463</v>
      </c>
      <c r="Q142" s="2">
        <v>155</v>
      </c>
    </row>
    <row r="143" spans="1:17" x14ac:dyDescent="0.25">
      <c r="A143" s="1">
        <v>43467</v>
      </c>
      <c r="B143" s="2" t="s">
        <v>708</v>
      </c>
      <c r="C143" s="2" t="s">
        <v>709</v>
      </c>
      <c r="D143" s="2">
        <v>271545</v>
      </c>
      <c r="E143" s="2" t="s">
        <v>710</v>
      </c>
      <c r="F143" s="2" t="s">
        <v>711</v>
      </c>
      <c r="G143" s="2" t="s">
        <v>712</v>
      </c>
      <c r="H143" s="2">
        <v>79055150754.199997</v>
      </c>
      <c r="I143" s="2">
        <v>1887.5</v>
      </c>
      <c r="J143" s="2">
        <v>18.040407600000002</v>
      </c>
      <c r="K143" s="2">
        <v>585895</v>
      </c>
      <c r="L143" s="2">
        <v>5618595848850</v>
      </c>
      <c r="M143" s="2">
        <v>317264</v>
      </c>
      <c r="N143" s="2" t="s">
        <v>713</v>
      </c>
      <c r="O143" s="2">
        <v>1.1090000000000001E-5</v>
      </c>
      <c r="P143" s="2">
        <v>143126960</v>
      </c>
      <c r="Q143" s="2">
        <v>151</v>
      </c>
    </row>
    <row r="144" spans="1:17" x14ac:dyDescent="0.25">
      <c r="A144" s="1">
        <v>43466</v>
      </c>
      <c r="B144" s="2" t="s">
        <v>714</v>
      </c>
      <c r="C144" s="2" t="s">
        <v>715</v>
      </c>
      <c r="D144" s="2">
        <v>234576</v>
      </c>
      <c r="E144" s="2" t="s">
        <v>716</v>
      </c>
      <c r="F144" s="2" t="s">
        <v>717</v>
      </c>
      <c r="G144" s="2" t="s">
        <v>718</v>
      </c>
      <c r="H144" s="2">
        <v>79059425864.5</v>
      </c>
      <c r="I144" s="2">
        <v>1862.5</v>
      </c>
      <c r="J144" s="2">
        <v>11.22870449</v>
      </c>
      <c r="K144" s="2">
        <v>430431</v>
      </c>
      <c r="L144" s="2">
        <v>5618595848850</v>
      </c>
      <c r="M144" s="2">
        <v>239832</v>
      </c>
      <c r="N144" s="2" t="s">
        <v>719</v>
      </c>
      <c r="O144" s="2">
        <v>6.7800000000000003E-6</v>
      </c>
      <c r="P144" s="2">
        <v>119465063</v>
      </c>
      <c r="Q144" s="2">
        <v>149</v>
      </c>
    </row>
    <row r="145" spans="1:17" x14ac:dyDescent="0.25">
      <c r="A145" s="1">
        <v>43465</v>
      </c>
      <c r="B145" s="2" t="s">
        <v>720</v>
      </c>
      <c r="C145" s="2" t="s">
        <v>721</v>
      </c>
      <c r="D145" s="2">
        <v>259529</v>
      </c>
      <c r="E145" s="2" t="s">
        <v>722</v>
      </c>
      <c r="F145" s="2" t="s">
        <v>723</v>
      </c>
      <c r="G145" s="2" t="s">
        <v>724</v>
      </c>
      <c r="H145" s="2">
        <v>79080878216.199997</v>
      </c>
      <c r="I145" s="2">
        <v>1937.5</v>
      </c>
      <c r="J145" s="2">
        <v>15.90842885</v>
      </c>
      <c r="K145" s="2">
        <v>554009</v>
      </c>
      <c r="L145" s="2">
        <v>5248509606860</v>
      </c>
      <c r="M145" s="2">
        <v>304283</v>
      </c>
      <c r="N145" s="2" t="s">
        <v>725</v>
      </c>
      <c r="O145" s="2">
        <v>7.6399999999999997E-6</v>
      </c>
      <c r="P145" s="2">
        <v>137701067</v>
      </c>
      <c r="Q145" s="2">
        <v>155</v>
      </c>
    </row>
    <row r="146" spans="1:17" x14ac:dyDescent="0.25">
      <c r="A146" s="1">
        <v>43464</v>
      </c>
      <c r="B146" s="2" t="s">
        <v>726</v>
      </c>
      <c r="C146" s="2" t="s">
        <v>727</v>
      </c>
      <c r="D146" s="2">
        <v>267463</v>
      </c>
      <c r="E146" s="2" t="s">
        <v>728</v>
      </c>
      <c r="F146" s="2" t="s">
        <v>729</v>
      </c>
      <c r="G146" s="2" t="s">
        <v>730</v>
      </c>
      <c r="H146" s="2">
        <v>79171139349.300003</v>
      </c>
      <c r="I146" s="2">
        <v>2200</v>
      </c>
      <c r="J146" s="2">
        <v>13.91108006</v>
      </c>
      <c r="K146" s="2">
        <v>535621</v>
      </c>
      <c r="L146" s="2">
        <v>5106422924660</v>
      </c>
      <c r="M146" s="2">
        <v>303568</v>
      </c>
      <c r="N146" s="2" t="s">
        <v>731</v>
      </c>
      <c r="O146" s="2">
        <v>8.0600000000000008E-6</v>
      </c>
      <c r="P146" s="2">
        <v>134197675</v>
      </c>
      <c r="Q146" s="2">
        <v>176</v>
      </c>
    </row>
    <row r="147" spans="1:17" x14ac:dyDescent="0.25">
      <c r="A147" s="1">
        <v>43463</v>
      </c>
      <c r="B147" s="2" t="s">
        <v>732</v>
      </c>
      <c r="C147" s="2" t="s">
        <v>733</v>
      </c>
      <c r="D147" s="2">
        <v>264842</v>
      </c>
      <c r="E147" s="2" t="s">
        <v>734</v>
      </c>
      <c r="F147" s="2" t="s">
        <v>735</v>
      </c>
      <c r="G147" s="2" t="s">
        <v>736</v>
      </c>
      <c r="H147" s="2">
        <v>79219061101.300003</v>
      </c>
      <c r="I147" s="2">
        <v>1725</v>
      </c>
      <c r="J147" s="2">
        <v>15.312511069999999</v>
      </c>
      <c r="K147" s="2">
        <v>569958</v>
      </c>
      <c r="L147" s="2">
        <v>5106422924660</v>
      </c>
      <c r="M147" s="2">
        <v>322987</v>
      </c>
      <c r="N147" s="2" t="s">
        <v>737</v>
      </c>
      <c r="O147" s="2">
        <v>1.1219999999999999E-5</v>
      </c>
      <c r="P147" s="2">
        <v>134371999</v>
      </c>
      <c r="Q147" s="2">
        <v>138</v>
      </c>
    </row>
    <row r="148" spans="1:17" x14ac:dyDescent="0.25">
      <c r="A148" s="1">
        <v>43462</v>
      </c>
      <c r="B148" s="2" t="s">
        <v>738</v>
      </c>
      <c r="C148" s="2" t="s">
        <v>739</v>
      </c>
      <c r="D148" s="2">
        <v>308100</v>
      </c>
      <c r="E148" s="2" t="s">
        <v>740</v>
      </c>
      <c r="F148" s="2" t="s">
        <v>741</v>
      </c>
      <c r="G148" s="2" t="s">
        <v>742</v>
      </c>
      <c r="H148" s="2">
        <v>79275826818.300003</v>
      </c>
      <c r="I148" s="2">
        <v>2087.5</v>
      </c>
      <c r="J148" s="2">
        <v>17.97068908</v>
      </c>
      <c r="K148" s="2">
        <v>639459</v>
      </c>
      <c r="L148" s="2">
        <v>5106422924660</v>
      </c>
      <c r="M148" s="2">
        <v>381374</v>
      </c>
      <c r="N148" s="2" t="s">
        <v>743</v>
      </c>
      <c r="O148" s="2">
        <v>1.134E-5</v>
      </c>
      <c r="P148" s="2">
        <v>155400853</v>
      </c>
      <c r="Q148" s="2">
        <v>167</v>
      </c>
    </row>
    <row r="149" spans="1:17" x14ac:dyDescent="0.25">
      <c r="A149" s="1">
        <v>43461</v>
      </c>
      <c r="B149" s="2" t="s">
        <v>744</v>
      </c>
      <c r="C149" s="2" t="s">
        <v>745</v>
      </c>
      <c r="D149" s="2">
        <v>299846</v>
      </c>
      <c r="E149" s="2" t="s">
        <v>746</v>
      </c>
      <c r="F149" s="2" t="s">
        <v>747</v>
      </c>
      <c r="G149" s="2" t="s">
        <v>748</v>
      </c>
      <c r="H149" s="2">
        <v>79474968814.5</v>
      </c>
      <c r="I149" s="2">
        <v>2175</v>
      </c>
      <c r="J149" s="2">
        <v>16.916598449999999</v>
      </c>
      <c r="K149" s="2">
        <v>617822</v>
      </c>
      <c r="L149" s="2">
        <v>5106422924660</v>
      </c>
      <c r="M149" s="2">
        <v>335764</v>
      </c>
      <c r="N149" s="2" t="s">
        <v>749</v>
      </c>
      <c r="O149" s="2">
        <v>1.1219999999999999E-5</v>
      </c>
      <c r="P149" s="2">
        <v>154098125</v>
      </c>
      <c r="Q149" s="2">
        <v>174</v>
      </c>
    </row>
    <row r="150" spans="1:17" x14ac:dyDescent="0.25">
      <c r="A150" s="1">
        <v>43460</v>
      </c>
      <c r="B150" s="2" t="s">
        <v>750</v>
      </c>
      <c r="C150" s="2" t="s">
        <v>751</v>
      </c>
      <c r="D150" s="2">
        <v>281148</v>
      </c>
      <c r="E150" s="2" t="s">
        <v>752</v>
      </c>
      <c r="F150" s="2" t="s">
        <v>753</v>
      </c>
      <c r="G150" s="2" t="s">
        <v>754</v>
      </c>
      <c r="H150" s="2">
        <v>79571297684.399994</v>
      </c>
      <c r="I150" s="2">
        <v>1962.5</v>
      </c>
      <c r="J150" s="2">
        <v>16.226609379999999</v>
      </c>
      <c r="K150" s="2">
        <v>544465</v>
      </c>
      <c r="L150" s="2">
        <v>5106422924660</v>
      </c>
      <c r="M150" s="2">
        <v>308358</v>
      </c>
      <c r="N150" s="2" t="s">
        <v>755</v>
      </c>
      <c r="O150" s="2">
        <v>1.5699999999999999E-5</v>
      </c>
      <c r="P150" s="2">
        <v>139664146</v>
      </c>
      <c r="Q150" s="2">
        <v>157</v>
      </c>
    </row>
    <row r="151" spans="1:17" x14ac:dyDescent="0.25">
      <c r="A151" s="1">
        <v>43459</v>
      </c>
      <c r="B151" s="2" t="s">
        <v>756</v>
      </c>
      <c r="C151" s="2" t="s">
        <v>757</v>
      </c>
      <c r="D151" s="2">
        <v>264893</v>
      </c>
      <c r="E151" s="2" t="s">
        <v>758</v>
      </c>
      <c r="F151" s="2" t="s">
        <v>759</v>
      </c>
      <c r="G151" s="2" t="s">
        <v>760</v>
      </c>
      <c r="H151" s="2">
        <v>79601394746.5</v>
      </c>
      <c r="I151" s="2">
        <v>1987.5</v>
      </c>
      <c r="J151" s="2">
        <v>18.286738750000001</v>
      </c>
      <c r="K151" s="2">
        <v>489964</v>
      </c>
      <c r="L151" s="2">
        <v>5106422924660</v>
      </c>
      <c r="M151" s="2">
        <v>278869</v>
      </c>
      <c r="N151" s="2" t="s">
        <v>761</v>
      </c>
      <c r="O151" s="2">
        <v>1.8130000000000001E-5</v>
      </c>
      <c r="P151" s="2">
        <v>130683877</v>
      </c>
      <c r="Q151" s="2">
        <v>159</v>
      </c>
    </row>
    <row r="152" spans="1:17" x14ac:dyDescent="0.25">
      <c r="A152" s="1">
        <v>43458</v>
      </c>
      <c r="B152" s="2" t="s">
        <v>762</v>
      </c>
      <c r="C152" s="2" t="s">
        <v>763</v>
      </c>
      <c r="D152" s="2">
        <v>272145</v>
      </c>
      <c r="E152" s="2" t="s">
        <v>764</v>
      </c>
      <c r="F152" s="2" t="s">
        <v>765</v>
      </c>
      <c r="G152" s="2" t="s">
        <v>766</v>
      </c>
      <c r="H152" s="2">
        <v>79671273936.300003</v>
      </c>
      <c r="I152" s="2">
        <v>1900</v>
      </c>
      <c r="J152" s="2">
        <v>23.017150969999999</v>
      </c>
      <c r="K152" s="2">
        <v>582356</v>
      </c>
      <c r="L152" s="2">
        <v>5106422924660</v>
      </c>
      <c r="M152" s="2">
        <v>322790</v>
      </c>
      <c r="N152" s="2" t="s">
        <v>767</v>
      </c>
      <c r="O152" s="2">
        <v>2.4859999999999999E-5</v>
      </c>
      <c r="P152" s="2">
        <v>141775774</v>
      </c>
      <c r="Q152" s="2">
        <v>152</v>
      </c>
    </row>
    <row r="153" spans="1:17" x14ac:dyDescent="0.25">
      <c r="A153" s="1">
        <v>43457</v>
      </c>
      <c r="B153" s="2" t="s">
        <v>768</v>
      </c>
      <c r="C153" s="2" t="s">
        <v>769</v>
      </c>
      <c r="D153" s="2">
        <v>250563</v>
      </c>
      <c r="E153" s="2" t="s">
        <v>770</v>
      </c>
      <c r="F153" s="2" t="s">
        <v>771</v>
      </c>
      <c r="G153" s="2" t="s">
        <v>772</v>
      </c>
      <c r="H153" s="2">
        <v>79703251371.600006</v>
      </c>
      <c r="I153" s="2">
        <v>2200</v>
      </c>
      <c r="J153" s="2">
        <v>15.44952443</v>
      </c>
      <c r="K153" s="2">
        <v>522611</v>
      </c>
      <c r="L153" s="2">
        <v>5106422924660</v>
      </c>
      <c r="M153" s="2">
        <v>282718</v>
      </c>
      <c r="N153" s="2" t="s">
        <v>773</v>
      </c>
      <c r="O153" s="2">
        <v>1.6200000000000001E-5</v>
      </c>
      <c r="P153" s="2">
        <v>130322402</v>
      </c>
      <c r="Q153" s="2">
        <v>176</v>
      </c>
    </row>
    <row r="154" spans="1:17" x14ac:dyDescent="0.25">
      <c r="A154" s="1">
        <v>43456</v>
      </c>
      <c r="B154" s="2" t="s">
        <v>774</v>
      </c>
      <c r="C154" s="2" t="s">
        <v>775</v>
      </c>
      <c r="D154" s="2">
        <v>251041</v>
      </c>
      <c r="E154" s="2" t="s">
        <v>776</v>
      </c>
      <c r="F154" s="2" t="s">
        <v>777</v>
      </c>
      <c r="G154" s="2" t="s">
        <v>778</v>
      </c>
      <c r="H154" s="2">
        <v>79746081245.600006</v>
      </c>
      <c r="I154" s="2">
        <v>2187.5</v>
      </c>
      <c r="J154" s="2">
        <v>18.776462810000002</v>
      </c>
      <c r="K154" s="2">
        <v>552671</v>
      </c>
      <c r="L154" s="2">
        <v>5106422924660</v>
      </c>
      <c r="M154" s="2">
        <v>292208</v>
      </c>
      <c r="N154" s="2" t="s">
        <v>779</v>
      </c>
      <c r="O154" s="2">
        <v>3.0320000000000001E-5</v>
      </c>
      <c r="P154" s="2">
        <v>141144355</v>
      </c>
      <c r="Q154" s="2">
        <v>175</v>
      </c>
    </row>
    <row r="155" spans="1:17" x14ac:dyDescent="0.25">
      <c r="A155" s="1">
        <v>43455</v>
      </c>
      <c r="B155" s="2" t="s">
        <v>780</v>
      </c>
      <c r="C155" s="2" t="s">
        <v>781</v>
      </c>
      <c r="D155" s="2">
        <v>280448</v>
      </c>
      <c r="E155" s="2" t="s">
        <v>782</v>
      </c>
      <c r="F155" s="2" t="s">
        <v>783</v>
      </c>
      <c r="G155" s="2" t="s">
        <v>784</v>
      </c>
      <c r="H155" s="2">
        <v>79740547219.199997</v>
      </c>
      <c r="I155" s="2">
        <v>1750</v>
      </c>
      <c r="J155" s="2">
        <v>30.95900116</v>
      </c>
      <c r="K155" s="2">
        <v>660851</v>
      </c>
      <c r="L155" s="2">
        <v>5106422924660</v>
      </c>
      <c r="M155" s="2">
        <v>380313</v>
      </c>
      <c r="N155" s="2" t="s">
        <v>785</v>
      </c>
      <c r="O155" s="2">
        <v>4.8550000000000001E-5</v>
      </c>
      <c r="P155" s="2">
        <v>146768480</v>
      </c>
      <c r="Q155" s="2">
        <v>140</v>
      </c>
    </row>
    <row r="156" spans="1:17" x14ac:dyDescent="0.25">
      <c r="A156" s="1">
        <v>43454</v>
      </c>
      <c r="B156" s="2" t="s">
        <v>786</v>
      </c>
      <c r="C156" s="2" t="s">
        <v>787</v>
      </c>
      <c r="D156" s="2">
        <v>287138</v>
      </c>
      <c r="E156" s="2" t="s">
        <v>788</v>
      </c>
      <c r="F156" s="2" t="s">
        <v>789</v>
      </c>
      <c r="G156" s="2" t="s">
        <v>790</v>
      </c>
      <c r="H156" s="2">
        <v>79863963622.399994</v>
      </c>
      <c r="I156" s="2">
        <v>1687.5</v>
      </c>
      <c r="J156" s="2">
        <v>27.628065889999998</v>
      </c>
      <c r="K156" s="2">
        <v>649999</v>
      </c>
      <c r="L156" s="2">
        <v>5106422924660</v>
      </c>
      <c r="M156" s="2">
        <v>358042</v>
      </c>
      <c r="N156" s="2" t="s">
        <v>791</v>
      </c>
      <c r="O156" s="2">
        <v>3.6879999999999999E-5</v>
      </c>
      <c r="P156" s="2">
        <v>153791328</v>
      </c>
      <c r="Q156" s="2">
        <v>135</v>
      </c>
    </row>
    <row r="157" spans="1:17" x14ac:dyDescent="0.25">
      <c r="A157" s="1">
        <v>43453</v>
      </c>
      <c r="B157" s="2" t="s">
        <v>792</v>
      </c>
      <c r="C157" s="2" t="s">
        <v>793</v>
      </c>
      <c r="D157" s="2">
        <v>302243</v>
      </c>
      <c r="E157" s="2" t="s">
        <v>794</v>
      </c>
      <c r="F157" s="2" t="s">
        <v>795</v>
      </c>
      <c r="G157" s="2" t="s">
        <v>796</v>
      </c>
      <c r="H157" s="2">
        <v>79830091386.300003</v>
      </c>
      <c r="I157" s="2">
        <v>1862.5</v>
      </c>
      <c r="J157" s="2">
        <v>32.929584640000002</v>
      </c>
      <c r="K157" s="2">
        <v>708715</v>
      </c>
      <c r="L157" s="2">
        <v>5106422924660</v>
      </c>
      <c r="M157" s="2">
        <v>373637</v>
      </c>
      <c r="N157" s="2" t="s">
        <v>797</v>
      </c>
      <c r="O157" s="2">
        <v>4.4459999999999998E-5</v>
      </c>
      <c r="P157" s="2">
        <v>161629936</v>
      </c>
      <c r="Q157" s="2">
        <v>149</v>
      </c>
    </row>
    <row r="158" spans="1:17" x14ac:dyDescent="0.25">
      <c r="A158" s="1">
        <v>43452</v>
      </c>
      <c r="B158" s="2" t="s">
        <v>798</v>
      </c>
      <c r="C158" s="2" t="s">
        <v>799</v>
      </c>
      <c r="D158" s="2">
        <v>266117</v>
      </c>
      <c r="E158" s="2" t="s">
        <v>800</v>
      </c>
      <c r="F158" s="2" t="s">
        <v>801</v>
      </c>
      <c r="G158" s="2" t="s">
        <v>802</v>
      </c>
      <c r="H158" s="2">
        <v>79917786172.800003</v>
      </c>
      <c r="I158" s="2">
        <v>1600</v>
      </c>
      <c r="J158" s="2">
        <v>26.57834854</v>
      </c>
      <c r="K158" s="2">
        <v>649674</v>
      </c>
      <c r="L158" s="2">
        <v>5621092245590</v>
      </c>
      <c r="M158" s="2">
        <v>347160</v>
      </c>
      <c r="N158" s="2" t="s">
        <v>803</v>
      </c>
      <c r="O158" s="2">
        <v>3.6959999999999998E-5</v>
      </c>
      <c r="P158" s="2">
        <v>138034598</v>
      </c>
      <c r="Q158" s="2">
        <v>128</v>
      </c>
    </row>
    <row r="159" spans="1:17" x14ac:dyDescent="0.25">
      <c r="A159" s="1">
        <v>43451</v>
      </c>
      <c r="B159" s="2" t="s">
        <v>804</v>
      </c>
      <c r="C159" s="2" t="s">
        <v>805</v>
      </c>
      <c r="D159" s="2">
        <v>298663</v>
      </c>
      <c r="E159" s="2" t="s">
        <v>806</v>
      </c>
      <c r="F159" s="2" t="s">
        <v>807</v>
      </c>
      <c r="G159" s="2" t="s">
        <v>808</v>
      </c>
      <c r="H159" s="2">
        <v>80105258551.199997</v>
      </c>
      <c r="I159" s="2">
        <v>2000</v>
      </c>
      <c r="J159" s="2">
        <v>20.97551137</v>
      </c>
      <c r="K159" s="2">
        <v>696316</v>
      </c>
      <c r="L159" s="2">
        <v>5646403851530</v>
      </c>
      <c r="M159" s="2">
        <v>347101</v>
      </c>
      <c r="N159" s="2" t="s">
        <v>809</v>
      </c>
      <c r="O159" s="2">
        <v>2.2900000000000001E-5</v>
      </c>
      <c r="P159" s="2">
        <v>158524710</v>
      </c>
      <c r="Q159" s="2">
        <v>160</v>
      </c>
    </row>
    <row r="160" spans="1:17" x14ac:dyDescent="0.25">
      <c r="A160" s="1">
        <v>43450</v>
      </c>
      <c r="B160" s="2" t="s">
        <v>810</v>
      </c>
      <c r="C160" s="2" t="s">
        <v>811</v>
      </c>
      <c r="D160" s="2">
        <v>226338</v>
      </c>
      <c r="E160" s="2" t="s">
        <v>812</v>
      </c>
      <c r="F160" s="2" t="s">
        <v>813</v>
      </c>
      <c r="G160" s="2" t="s">
        <v>814</v>
      </c>
      <c r="H160" s="2">
        <v>80140577270.5</v>
      </c>
      <c r="I160" s="2">
        <v>1437.5</v>
      </c>
      <c r="J160" s="2">
        <v>14.84875261</v>
      </c>
      <c r="K160" s="2">
        <v>536378</v>
      </c>
      <c r="L160" s="2">
        <v>5646403851530</v>
      </c>
      <c r="M160" s="2">
        <v>268941</v>
      </c>
      <c r="N160" s="2" t="s">
        <v>815</v>
      </c>
      <c r="O160" s="2">
        <v>2.1460000000000001E-5</v>
      </c>
      <c r="P160" s="2">
        <v>117290749</v>
      </c>
      <c r="Q160" s="2">
        <v>115</v>
      </c>
    </row>
    <row r="161" spans="1:17" x14ac:dyDescent="0.25">
      <c r="A161" s="1">
        <v>43449</v>
      </c>
      <c r="B161" s="2" t="s">
        <v>816</v>
      </c>
      <c r="C161" s="2" t="s">
        <v>817</v>
      </c>
      <c r="D161" s="2">
        <v>262730</v>
      </c>
      <c r="E161" s="2" t="s">
        <v>818</v>
      </c>
      <c r="F161" s="2" t="s">
        <v>819</v>
      </c>
      <c r="G161" s="2" t="s">
        <v>820</v>
      </c>
      <c r="H161" s="2">
        <v>80210947594.600006</v>
      </c>
      <c r="I161" s="2">
        <v>1862.5</v>
      </c>
      <c r="J161" s="2">
        <v>18.37318136</v>
      </c>
      <c r="K161" s="2">
        <v>598790</v>
      </c>
      <c r="L161" s="2">
        <v>5646403851530</v>
      </c>
      <c r="M161" s="2">
        <v>296508</v>
      </c>
      <c r="N161" s="2" t="s">
        <v>821</v>
      </c>
      <c r="O161" s="2">
        <v>2.056E-5</v>
      </c>
      <c r="P161" s="2">
        <v>140336305</v>
      </c>
      <c r="Q161" s="2">
        <v>149</v>
      </c>
    </row>
    <row r="162" spans="1:17" x14ac:dyDescent="0.25">
      <c r="A162" s="1">
        <v>43448</v>
      </c>
      <c r="B162" s="2" t="s">
        <v>822</v>
      </c>
      <c r="C162" s="2" t="s">
        <v>823</v>
      </c>
      <c r="D162" s="2">
        <v>275655</v>
      </c>
      <c r="E162" s="2" t="s">
        <v>824</v>
      </c>
      <c r="F162" s="2" t="s">
        <v>825</v>
      </c>
      <c r="G162" s="2" t="s">
        <v>826</v>
      </c>
      <c r="H162" s="2">
        <v>80284331259.5</v>
      </c>
      <c r="I162" s="2">
        <v>1825</v>
      </c>
      <c r="J162" s="2">
        <v>25.095382310000002</v>
      </c>
      <c r="K162" s="2">
        <v>696397</v>
      </c>
      <c r="L162" s="2">
        <v>5646403851530</v>
      </c>
      <c r="M162" s="2">
        <v>354404</v>
      </c>
      <c r="N162" s="2" t="s">
        <v>827</v>
      </c>
      <c r="O162" s="2">
        <v>2.938E-5</v>
      </c>
      <c r="P162" s="2">
        <v>154568029</v>
      </c>
      <c r="Q162" s="2">
        <v>146</v>
      </c>
    </row>
    <row r="163" spans="1:17" x14ac:dyDescent="0.25">
      <c r="A163" s="1">
        <v>43447</v>
      </c>
      <c r="B163" s="2" t="s">
        <v>828</v>
      </c>
      <c r="C163" s="2" t="s">
        <v>829</v>
      </c>
      <c r="D163" s="2">
        <v>268291</v>
      </c>
      <c r="E163" s="2" t="s">
        <v>830</v>
      </c>
      <c r="F163" s="2" t="s">
        <v>831</v>
      </c>
      <c r="G163" s="2" t="s">
        <v>832</v>
      </c>
      <c r="H163" s="2">
        <v>80460512392.399994</v>
      </c>
      <c r="I163" s="2">
        <v>1637.5</v>
      </c>
      <c r="J163" s="2">
        <v>22.088264179999999</v>
      </c>
      <c r="K163" s="2">
        <v>642768</v>
      </c>
      <c r="L163" s="2">
        <v>5646403851530</v>
      </c>
      <c r="M163" s="2">
        <v>326309</v>
      </c>
      <c r="N163" s="2" t="s">
        <v>833</v>
      </c>
      <c r="O163" s="2">
        <v>3.1109999999999999E-5</v>
      </c>
      <c r="P163" s="2">
        <v>142037670</v>
      </c>
      <c r="Q163" s="2">
        <v>131</v>
      </c>
    </row>
    <row r="164" spans="1:17" x14ac:dyDescent="0.25">
      <c r="A164" s="1">
        <v>43446</v>
      </c>
      <c r="B164" s="2" t="s">
        <v>834</v>
      </c>
      <c r="C164" s="2" t="s">
        <v>835</v>
      </c>
      <c r="D164" s="2">
        <v>261303</v>
      </c>
      <c r="E164" s="2" t="s">
        <v>836</v>
      </c>
      <c r="F164" s="2" t="s">
        <v>837</v>
      </c>
      <c r="G164" s="2" t="s">
        <v>838</v>
      </c>
      <c r="H164" s="2">
        <v>80579778883.300003</v>
      </c>
      <c r="I164" s="2">
        <v>1500</v>
      </c>
      <c r="J164" s="2">
        <v>22.35779149</v>
      </c>
      <c r="K164" s="2">
        <v>626588</v>
      </c>
      <c r="L164" s="2">
        <v>5646403851530</v>
      </c>
      <c r="M164" s="2">
        <v>326939</v>
      </c>
      <c r="N164" s="2" t="s">
        <v>839</v>
      </c>
      <c r="O164" s="2">
        <v>3.1640000000000002E-5</v>
      </c>
      <c r="P164" s="2">
        <v>136027500</v>
      </c>
      <c r="Q164" s="2">
        <v>120</v>
      </c>
    </row>
    <row r="165" spans="1:17" x14ac:dyDescent="0.25">
      <c r="A165" s="1">
        <v>43445</v>
      </c>
      <c r="B165" s="2" t="s">
        <v>840</v>
      </c>
      <c r="C165" s="2" t="s">
        <v>841</v>
      </c>
      <c r="D165" s="2">
        <v>251362</v>
      </c>
      <c r="E165" s="2" t="s">
        <v>842</v>
      </c>
      <c r="F165" s="2" t="s">
        <v>843</v>
      </c>
      <c r="G165" s="2" t="s">
        <v>844</v>
      </c>
      <c r="H165" s="2">
        <v>80677417357.300003</v>
      </c>
      <c r="I165" s="2">
        <v>1562.4999992400001</v>
      </c>
      <c r="J165" s="2">
        <v>23.319010989999999</v>
      </c>
      <c r="K165" s="2">
        <v>622451</v>
      </c>
      <c r="L165" s="2">
        <v>5646403851530</v>
      </c>
      <c r="M165" s="2">
        <v>321023</v>
      </c>
      <c r="N165" s="2" t="s">
        <v>845</v>
      </c>
      <c r="O165" s="2">
        <v>3.3200000000000001E-5</v>
      </c>
      <c r="P165" s="2">
        <v>134584115</v>
      </c>
      <c r="Q165" s="2">
        <v>125</v>
      </c>
    </row>
    <row r="166" spans="1:17" x14ac:dyDescent="0.25">
      <c r="A166" s="1">
        <v>43444</v>
      </c>
      <c r="B166" s="2" t="s">
        <v>846</v>
      </c>
      <c r="C166" s="2" t="s">
        <v>847</v>
      </c>
      <c r="D166" s="2">
        <v>258229</v>
      </c>
      <c r="E166" s="2" t="s">
        <v>848</v>
      </c>
      <c r="F166" s="2" t="s">
        <v>849</v>
      </c>
      <c r="G166" s="2" t="s">
        <v>850</v>
      </c>
      <c r="H166" s="2">
        <v>81050309433.100006</v>
      </c>
      <c r="I166" s="2">
        <v>1550</v>
      </c>
      <c r="J166" s="2">
        <v>22.972833820000002</v>
      </c>
      <c r="K166" s="2">
        <v>620290</v>
      </c>
      <c r="L166" s="2">
        <v>5646403851530</v>
      </c>
      <c r="M166" s="2">
        <v>337894</v>
      </c>
      <c r="N166" s="2" t="s">
        <v>851</v>
      </c>
      <c r="O166" s="2">
        <v>2.9580000000000001E-5</v>
      </c>
      <c r="P166" s="2">
        <v>141503130</v>
      </c>
      <c r="Q166" s="2">
        <v>124</v>
      </c>
    </row>
    <row r="167" spans="1:17" x14ac:dyDescent="0.25">
      <c r="A167" s="1">
        <v>43443</v>
      </c>
      <c r="B167" s="2" t="s">
        <v>852</v>
      </c>
      <c r="C167" s="2" t="s">
        <v>853</v>
      </c>
      <c r="D167" s="2">
        <v>238441</v>
      </c>
      <c r="E167" s="2" t="s">
        <v>854</v>
      </c>
      <c r="F167" s="2" t="s">
        <v>855</v>
      </c>
      <c r="G167" s="2" t="s">
        <v>856</v>
      </c>
      <c r="H167" s="2">
        <v>81199576511.399994</v>
      </c>
      <c r="I167" s="2">
        <v>1600</v>
      </c>
      <c r="J167" s="2">
        <v>16.833588370000001</v>
      </c>
      <c r="K167" s="2">
        <v>516282</v>
      </c>
      <c r="L167" s="2">
        <v>5646403851530</v>
      </c>
      <c r="M167" s="2">
        <v>271351</v>
      </c>
      <c r="N167" s="2" t="s">
        <v>857</v>
      </c>
      <c r="O167" s="2">
        <v>2.5000000000000001E-5</v>
      </c>
      <c r="P167" s="2">
        <v>121451728</v>
      </c>
      <c r="Q167" s="2">
        <v>128</v>
      </c>
    </row>
    <row r="168" spans="1:17" x14ac:dyDescent="0.25">
      <c r="A168" s="1">
        <v>43442</v>
      </c>
      <c r="B168" s="2" t="s">
        <v>858</v>
      </c>
      <c r="C168" s="2" t="s">
        <v>859</v>
      </c>
      <c r="D168" s="2">
        <v>230977</v>
      </c>
      <c r="E168" s="2" t="s">
        <v>860</v>
      </c>
      <c r="F168" s="2" t="s">
        <v>861</v>
      </c>
      <c r="G168" s="2" t="s">
        <v>862</v>
      </c>
      <c r="H168" s="2">
        <v>81223580408.399994</v>
      </c>
      <c r="I168" s="2">
        <v>1587.5</v>
      </c>
      <c r="J168" s="2">
        <v>19.7523634</v>
      </c>
      <c r="K168" s="2">
        <v>533720</v>
      </c>
      <c r="L168" s="2">
        <v>5646403851530</v>
      </c>
      <c r="M168" s="2">
        <v>287796</v>
      </c>
      <c r="N168" s="2" t="s">
        <v>863</v>
      </c>
      <c r="O168" s="2">
        <v>3.006E-5</v>
      </c>
      <c r="P168" s="2">
        <v>123279033</v>
      </c>
      <c r="Q168" s="2">
        <v>127</v>
      </c>
    </row>
    <row r="169" spans="1:17" x14ac:dyDescent="0.25">
      <c r="A169" s="1">
        <v>43441</v>
      </c>
      <c r="B169" s="2" t="s">
        <v>864</v>
      </c>
      <c r="C169" s="2" t="s">
        <v>865</v>
      </c>
      <c r="D169" s="2">
        <v>253776</v>
      </c>
      <c r="E169" s="2" t="s">
        <v>866</v>
      </c>
      <c r="F169" s="2" t="s">
        <v>867</v>
      </c>
      <c r="G169" s="2" t="s">
        <v>868</v>
      </c>
      <c r="H169" s="2">
        <v>81285423155</v>
      </c>
      <c r="I169" s="2">
        <v>1425</v>
      </c>
      <c r="J169" s="2">
        <v>31.19535557</v>
      </c>
      <c r="K169" s="2">
        <v>663554</v>
      </c>
      <c r="L169" s="2">
        <v>5646403851530</v>
      </c>
      <c r="M169" s="2">
        <v>388868</v>
      </c>
      <c r="N169" s="2" t="s">
        <v>869</v>
      </c>
      <c r="O169" s="2">
        <v>4.9679999999999999E-5</v>
      </c>
      <c r="P169" s="2">
        <v>139341216</v>
      </c>
      <c r="Q169" s="2">
        <v>114</v>
      </c>
    </row>
    <row r="170" spans="1:17" x14ac:dyDescent="0.25">
      <c r="A170" s="1">
        <v>43440</v>
      </c>
      <c r="B170" s="2" t="s">
        <v>870</v>
      </c>
      <c r="C170" s="2" t="s">
        <v>871</v>
      </c>
      <c r="D170" s="2">
        <v>279519</v>
      </c>
      <c r="E170" s="2" t="s">
        <v>872</v>
      </c>
      <c r="F170" s="2" t="s">
        <v>873</v>
      </c>
      <c r="G170" s="2" t="s">
        <v>874</v>
      </c>
      <c r="H170" s="2">
        <v>81517488879</v>
      </c>
      <c r="I170" s="2">
        <v>1687.5</v>
      </c>
      <c r="J170" s="2">
        <v>28.475702170000002</v>
      </c>
      <c r="K170" s="2">
        <v>655308</v>
      </c>
      <c r="L170" s="2">
        <v>5646403851530</v>
      </c>
      <c r="M170" s="2">
        <v>373032</v>
      </c>
      <c r="N170" s="2" t="s">
        <v>875</v>
      </c>
      <c r="O170" s="2">
        <v>3.536E-5</v>
      </c>
      <c r="P170" s="2">
        <v>147410519</v>
      </c>
      <c r="Q170" s="2">
        <v>135</v>
      </c>
    </row>
    <row r="171" spans="1:17" x14ac:dyDescent="0.25">
      <c r="A171" s="1">
        <v>43439</v>
      </c>
      <c r="B171" s="2" t="s">
        <v>876</v>
      </c>
      <c r="C171" s="2" t="s">
        <v>877</v>
      </c>
      <c r="D171" s="2">
        <v>256371</v>
      </c>
      <c r="E171" s="2" t="s">
        <v>878</v>
      </c>
      <c r="F171" s="2" t="s">
        <v>879</v>
      </c>
      <c r="G171" s="2" t="s">
        <v>880</v>
      </c>
      <c r="H171" s="2">
        <v>82129317339.100006</v>
      </c>
      <c r="I171" s="2">
        <v>1625</v>
      </c>
      <c r="J171" s="2">
        <v>26.311101789999999</v>
      </c>
      <c r="K171" s="2">
        <v>602413</v>
      </c>
      <c r="L171" s="2">
        <v>5646403851530</v>
      </c>
      <c r="M171" s="2">
        <v>335794</v>
      </c>
      <c r="N171" s="2" t="s">
        <v>881</v>
      </c>
      <c r="O171" s="2">
        <v>4.2969999999999997E-5</v>
      </c>
      <c r="P171" s="2">
        <v>134779851</v>
      </c>
      <c r="Q171" s="2">
        <v>130</v>
      </c>
    </row>
    <row r="172" spans="1:17" x14ac:dyDescent="0.25">
      <c r="A172" s="1">
        <v>43438</v>
      </c>
      <c r="B172" s="2" t="s">
        <v>882</v>
      </c>
      <c r="C172" s="2" t="s">
        <v>883</v>
      </c>
      <c r="D172" s="2">
        <v>270051</v>
      </c>
      <c r="E172" s="2" t="s">
        <v>884</v>
      </c>
      <c r="F172" s="2" t="s">
        <v>885</v>
      </c>
      <c r="G172" s="2" t="s">
        <v>886</v>
      </c>
      <c r="H172" s="2">
        <v>83153325264.899994</v>
      </c>
      <c r="I172" s="2">
        <v>1725</v>
      </c>
      <c r="J172" s="2">
        <v>31.500092030000001</v>
      </c>
      <c r="K172" s="2">
        <v>679714</v>
      </c>
      <c r="L172" s="2">
        <v>5646403851530</v>
      </c>
      <c r="M172" s="2">
        <v>372707</v>
      </c>
      <c r="N172" s="2" t="s">
        <v>887</v>
      </c>
      <c r="O172" s="2">
        <v>5.2169999999999997E-5</v>
      </c>
      <c r="P172" s="2">
        <v>149517427</v>
      </c>
      <c r="Q172" s="2">
        <v>138</v>
      </c>
    </row>
    <row r="173" spans="1:17" x14ac:dyDescent="0.25">
      <c r="A173" s="1">
        <v>43437</v>
      </c>
      <c r="B173" s="2" t="s">
        <v>888</v>
      </c>
      <c r="C173" s="2" t="s">
        <v>889</v>
      </c>
      <c r="D173" s="2">
        <v>240538</v>
      </c>
      <c r="E173" s="2" t="s">
        <v>890</v>
      </c>
      <c r="F173" s="2" t="s">
        <v>891</v>
      </c>
      <c r="G173" s="2" t="s">
        <v>892</v>
      </c>
      <c r="H173" s="2">
        <v>82676845865.600006</v>
      </c>
      <c r="I173" s="2">
        <v>1425</v>
      </c>
      <c r="J173" s="2">
        <v>31.12664818</v>
      </c>
      <c r="K173" s="2">
        <v>576356</v>
      </c>
      <c r="L173" s="2">
        <v>6194015746030</v>
      </c>
      <c r="M173" s="2">
        <v>326941</v>
      </c>
      <c r="N173" s="2" t="s">
        <v>893</v>
      </c>
      <c r="O173" s="2">
        <v>5.9209999999999997E-5</v>
      </c>
      <c r="P173" s="2">
        <v>125517220</v>
      </c>
      <c r="Q173" s="2">
        <v>114</v>
      </c>
    </row>
    <row r="174" spans="1:17" x14ac:dyDescent="0.25">
      <c r="A174" s="1">
        <v>43436</v>
      </c>
      <c r="B174" s="2" t="s">
        <v>894</v>
      </c>
      <c r="C174" s="2" t="s">
        <v>895</v>
      </c>
      <c r="D174" s="2">
        <v>222559</v>
      </c>
      <c r="E174" s="2" t="s">
        <v>896</v>
      </c>
      <c r="F174" s="2" t="s">
        <v>897</v>
      </c>
      <c r="G174" s="2" t="s">
        <v>898</v>
      </c>
      <c r="H174" s="2">
        <v>82432266929.899994</v>
      </c>
      <c r="I174" s="2">
        <v>1425</v>
      </c>
      <c r="J174" s="2">
        <v>23.245353080000001</v>
      </c>
      <c r="K174" s="2">
        <v>507845</v>
      </c>
      <c r="L174" s="2">
        <v>6653303141410</v>
      </c>
      <c r="M174" s="2">
        <v>269352</v>
      </c>
      <c r="N174" s="2" t="s">
        <v>899</v>
      </c>
      <c r="O174" s="2">
        <v>4.5899999999999998E-5</v>
      </c>
      <c r="P174" s="2">
        <v>114600981</v>
      </c>
      <c r="Q174" s="2">
        <v>114</v>
      </c>
    </row>
    <row r="175" spans="1:17" x14ac:dyDescent="0.25">
      <c r="A175" s="1">
        <v>43435</v>
      </c>
      <c r="B175" s="2" t="s">
        <v>900</v>
      </c>
      <c r="C175" s="2" t="s">
        <v>901</v>
      </c>
      <c r="D175" s="2">
        <v>241723</v>
      </c>
      <c r="E175" s="2" t="s">
        <v>902</v>
      </c>
      <c r="F175" s="2" t="s">
        <v>903</v>
      </c>
      <c r="G175" s="2" t="s">
        <v>904</v>
      </c>
      <c r="H175" s="2">
        <v>82485163799.300003</v>
      </c>
      <c r="I175" s="2">
        <v>1550</v>
      </c>
      <c r="J175" s="2">
        <v>31.11731237</v>
      </c>
      <c r="K175" s="2">
        <v>591455</v>
      </c>
      <c r="L175" s="2">
        <v>6653303141410</v>
      </c>
      <c r="M175" s="2">
        <v>322999</v>
      </c>
      <c r="N175" s="2" t="s">
        <v>905</v>
      </c>
      <c r="O175" s="2">
        <v>6.1020000000000002E-5</v>
      </c>
      <c r="P175" s="2">
        <v>132486362</v>
      </c>
      <c r="Q175" s="2">
        <v>124</v>
      </c>
    </row>
    <row r="176" spans="1:17" x14ac:dyDescent="0.25">
      <c r="A176" s="1">
        <v>43434</v>
      </c>
      <c r="B176" s="2" t="s">
        <v>906</v>
      </c>
      <c r="C176" s="2" t="s">
        <v>907</v>
      </c>
      <c r="D176" s="2">
        <v>250056</v>
      </c>
      <c r="E176" s="2" t="s">
        <v>908</v>
      </c>
      <c r="F176" s="2" t="s">
        <v>909</v>
      </c>
      <c r="G176" s="2" t="s">
        <v>910</v>
      </c>
      <c r="H176" s="2">
        <v>82409421457.199997</v>
      </c>
      <c r="I176" s="2">
        <v>1262.5</v>
      </c>
      <c r="J176" s="2">
        <v>40.778121710000001</v>
      </c>
      <c r="K176" s="2">
        <v>596009</v>
      </c>
      <c r="L176" s="2">
        <v>6653303141410</v>
      </c>
      <c r="M176" s="2">
        <v>353908</v>
      </c>
      <c r="N176" s="2" t="s">
        <v>911</v>
      </c>
      <c r="O176" s="2">
        <v>8.1100000000000006E-5</v>
      </c>
      <c r="P176" s="2">
        <v>122188928</v>
      </c>
      <c r="Q176" s="2">
        <v>101</v>
      </c>
    </row>
    <row r="177" spans="1:17" x14ac:dyDescent="0.25">
      <c r="A177" s="1">
        <v>43433</v>
      </c>
      <c r="B177" s="2" t="s">
        <v>912</v>
      </c>
      <c r="C177" s="2" t="s">
        <v>913</v>
      </c>
      <c r="D177" s="2">
        <v>246121</v>
      </c>
      <c r="E177" s="2" t="s">
        <v>914</v>
      </c>
      <c r="F177" s="2" t="s">
        <v>915</v>
      </c>
      <c r="G177" s="2" t="s">
        <v>916</v>
      </c>
      <c r="H177" s="2">
        <v>82592381088.199997</v>
      </c>
      <c r="I177" s="2">
        <v>1312.5</v>
      </c>
      <c r="J177" s="2">
        <v>45.072380449999997</v>
      </c>
      <c r="K177" s="2">
        <v>614248</v>
      </c>
      <c r="L177" s="2">
        <v>6653303141410</v>
      </c>
      <c r="M177" s="2">
        <v>355259</v>
      </c>
      <c r="N177" s="2" t="s">
        <v>917</v>
      </c>
      <c r="O177" s="2">
        <v>8.072E-5</v>
      </c>
      <c r="P177" s="2">
        <v>126223662</v>
      </c>
      <c r="Q177" s="2">
        <v>105</v>
      </c>
    </row>
    <row r="178" spans="1:17" x14ac:dyDescent="0.25">
      <c r="A178" s="1">
        <v>43432</v>
      </c>
      <c r="B178" s="2" t="s">
        <v>918</v>
      </c>
      <c r="C178" s="2" t="s">
        <v>919</v>
      </c>
      <c r="D178" s="2">
        <v>254338</v>
      </c>
      <c r="E178" s="2" t="s">
        <v>920</v>
      </c>
      <c r="F178" s="2" t="s">
        <v>921</v>
      </c>
      <c r="G178" s="2" t="s">
        <v>922</v>
      </c>
      <c r="H178" s="2">
        <v>82530362054.899994</v>
      </c>
      <c r="I178" s="2">
        <v>1474.99999925</v>
      </c>
      <c r="J178" s="2">
        <v>38.73742361</v>
      </c>
      <c r="K178" s="2">
        <v>617804</v>
      </c>
      <c r="L178" s="2">
        <v>6653303141410</v>
      </c>
      <c r="M178" s="2">
        <v>349419</v>
      </c>
      <c r="N178" s="2" t="s">
        <v>923</v>
      </c>
      <c r="O178" s="2">
        <v>7.2890000000000002E-5</v>
      </c>
      <c r="P178" s="2">
        <v>131212276</v>
      </c>
      <c r="Q178" s="2">
        <v>118</v>
      </c>
    </row>
    <row r="179" spans="1:17" x14ac:dyDescent="0.25">
      <c r="A179" s="1">
        <v>43431</v>
      </c>
      <c r="B179" s="2" t="s">
        <v>924</v>
      </c>
      <c r="C179" s="2" t="s">
        <v>925</v>
      </c>
      <c r="D179" s="2">
        <v>268402</v>
      </c>
      <c r="E179" s="2" t="s">
        <v>926</v>
      </c>
      <c r="F179" s="2" t="s">
        <v>927</v>
      </c>
      <c r="G179" s="2" t="s">
        <v>928</v>
      </c>
      <c r="H179" s="2">
        <v>82578831165.699997</v>
      </c>
      <c r="I179" s="2">
        <v>1637.5</v>
      </c>
      <c r="J179" s="2">
        <v>37.383126490000002</v>
      </c>
      <c r="K179" s="2">
        <v>643313</v>
      </c>
      <c r="L179" s="2">
        <v>6653303141410</v>
      </c>
      <c r="M179" s="2">
        <v>349911</v>
      </c>
      <c r="N179" s="2" t="s">
        <v>929</v>
      </c>
      <c r="O179" s="2">
        <v>6.7799999999999995E-5</v>
      </c>
      <c r="P179" s="2">
        <v>140334279</v>
      </c>
      <c r="Q179" s="2">
        <v>131</v>
      </c>
    </row>
    <row r="180" spans="1:17" x14ac:dyDescent="0.25">
      <c r="A180" s="1">
        <v>43430</v>
      </c>
      <c r="B180" s="2" t="s">
        <v>930</v>
      </c>
      <c r="C180" s="2" t="s">
        <v>931</v>
      </c>
      <c r="D180" s="2">
        <v>256951</v>
      </c>
      <c r="E180" s="2" t="s">
        <v>932</v>
      </c>
      <c r="F180" s="2" t="s">
        <v>933</v>
      </c>
      <c r="G180" s="2" t="s">
        <v>934</v>
      </c>
      <c r="H180" s="2">
        <v>82831047082.800003</v>
      </c>
      <c r="I180" s="2">
        <v>1387.5</v>
      </c>
      <c r="J180" s="2">
        <v>38.279011509999997</v>
      </c>
      <c r="K180" s="2">
        <v>633479</v>
      </c>
      <c r="L180" s="2">
        <v>6653303141410</v>
      </c>
      <c r="M180" s="2">
        <v>360865</v>
      </c>
      <c r="N180" s="2" t="s">
        <v>935</v>
      </c>
      <c r="O180" s="2">
        <v>7.2000000000000002E-5</v>
      </c>
      <c r="P180" s="2">
        <v>131664225</v>
      </c>
      <c r="Q180" s="2">
        <v>111</v>
      </c>
    </row>
    <row r="181" spans="1:17" x14ac:dyDescent="0.25">
      <c r="A181" s="1">
        <v>43429</v>
      </c>
      <c r="B181" s="2" t="s">
        <v>936</v>
      </c>
      <c r="C181" s="2" t="s">
        <v>937</v>
      </c>
      <c r="D181" s="2">
        <v>239129</v>
      </c>
      <c r="E181" s="2" t="s">
        <v>938</v>
      </c>
      <c r="F181" s="2" t="s">
        <v>939</v>
      </c>
      <c r="G181" s="2" t="s">
        <v>940</v>
      </c>
      <c r="H181" s="2">
        <v>83095500212.199997</v>
      </c>
      <c r="I181" s="2">
        <v>1587.5</v>
      </c>
      <c r="J181" s="2">
        <v>32.01112732</v>
      </c>
      <c r="K181" s="2">
        <v>569057</v>
      </c>
      <c r="L181" s="2">
        <v>6653303141410</v>
      </c>
      <c r="M181" s="2">
        <v>318775</v>
      </c>
      <c r="N181" s="2" t="s">
        <v>941</v>
      </c>
      <c r="O181" s="2">
        <v>6.2760000000000002E-5</v>
      </c>
      <c r="P181" s="2">
        <v>128340364</v>
      </c>
      <c r="Q181" s="2">
        <v>127</v>
      </c>
    </row>
    <row r="182" spans="1:17" x14ac:dyDescent="0.25">
      <c r="A182" s="1">
        <v>43428</v>
      </c>
      <c r="B182" s="2" t="s">
        <v>942</v>
      </c>
      <c r="C182" s="2" t="s">
        <v>943</v>
      </c>
      <c r="D182" s="2">
        <v>249874</v>
      </c>
      <c r="E182" s="2" t="s">
        <v>944</v>
      </c>
      <c r="F182" s="2" t="s">
        <v>945</v>
      </c>
      <c r="G182" s="2" t="s">
        <v>946</v>
      </c>
      <c r="H182" s="2">
        <v>83297581775</v>
      </c>
      <c r="I182" s="2">
        <v>1787.5</v>
      </c>
      <c r="J182" s="2">
        <v>31.179976379999999</v>
      </c>
      <c r="K182" s="2">
        <v>579240</v>
      </c>
      <c r="L182" s="2">
        <v>6653303141410</v>
      </c>
      <c r="M182" s="2">
        <v>315617</v>
      </c>
      <c r="N182" s="2" t="s">
        <v>947</v>
      </c>
      <c r="O182" s="2">
        <v>5.8860000000000002E-5</v>
      </c>
      <c r="P182" s="2">
        <v>140179216</v>
      </c>
      <c r="Q182" s="2">
        <v>143</v>
      </c>
    </row>
    <row r="183" spans="1:17" x14ac:dyDescent="0.25">
      <c r="A183" s="1">
        <v>43427</v>
      </c>
      <c r="B183" s="2" t="s">
        <v>948</v>
      </c>
      <c r="C183" s="2" t="s">
        <v>949</v>
      </c>
      <c r="D183" s="2">
        <v>275136</v>
      </c>
      <c r="E183" s="2" t="s">
        <v>950</v>
      </c>
      <c r="F183" s="2" t="s">
        <v>951</v>
      </c>
      <c r="G183" s="2" t="s">
        <v>952</v>
      </c>
      <c r="H183" s="2">
        <v>83492863739.600006</v>
      </c>
      <c r="I183" s="2">
        <v>1562.5</v>
      </c>
      <c r="J183" s="2">
        <v>36.984337119999999</v>
      </c>
      <c r="K183" s="2">
        <v>639963</v>
      </c>
      <c r="L183" s="2">
        <v>6653303141410</v>
      </c>
      <c r="M183" s="2">
        <v>392715</v>
      </c>
      <c r="N183" s="2" t="s">
        <v>953</v>
      </c>
      <c r="O183" s="2">
        <v>7.2799999999999994E-5</v>
      </c>
      <c r="P183" s="2">
        <v>141387073</v>
      </c>
      <c r="Q183" s="2">
        <v>125</v>
      </c>
    </row>
    <row r="184" spans="1:17" x14ac:dyDescent="0.25">
      <c r="A184" s="1">
        <v>43426</v>
      </c>
      <c r="B184" s="2" t="s">
        <v>954</v>
      </c>
      <c r="C184" s="2" t="s">
        <v>955</v>
      </c>
      <c r="D184" s="2">
        <v>265994</v>
      </c>
      <c r="E184" s="2" t="s">
        <v>956</v>
      </c>
      <c r="F184" s="2" t="s">
        <v>957</v>
      </c>
      <c r="G184" s="2" t="s">
        <v>958</v>
      </c>
      <c r="H184" s="2">
        <v>83629347047.300003</v>
      </c>
      <c r="I184" s="2">
        <v>1525</v>
      </c>
      <c r="J184" s="2">
        <v>39.134217640000003</v>
      </c>
      <c r="K184" s="2">
        <v>656428</v>
      </c>
      <c r="L184" s="2">
        <v>6653303141410</v>
      </c>
      <c r="M184" s="2">
        <v>364559</v>
      </c>
      <c r="N184" s="2" t="s">
        <v>959</v>
      </c>
      <c r="O184" s="2">
        <v>7.6279999999999995E-5</v>
      </c>
      <c r="P184" s="2">
        <v>148651548</v>
      </c>
      <c r="Q184" s="2">
        <v>122</v>
      </c>
    </row>
    <row r="185" spans="1:17" x14ac:dyDescent="0.25">
      <c r="A185" s="1">
        <v>43425</v>
      </c>
      <c r="B185" s="2" t="s">
        <v>960</v>
      </c>
      <c r="C185" s="2" t="s">
        <v>961</v>
      </c>
      <c r="D185" s="2">
        <v>254837</v>
      </c>
      <c r="E185" s="2" t="s">
        <v>962</v>
      </c>
      <c r="F185" s="2" t="s">
        <v>963</v>
      </c>
      <c r="G185" s="2" t="s">
        <v>964</v>
      </c>
      <c r="H185" s="2">
        <v>83811838309.199997</v>
      </c>
      <c r="I185" s="2">
        <v>1312.5</v>
      </c>
      <c r="J185" s="2">
        <v>49.950160089999997</v>
      </c>
      <c r="K185" s="2">
        <v>628177</v>
      </c>
      <c r="L185" s="2">
        <v>6653303141410</v>
      </c>
      <c r="M185" s="2">
        <v>367256</v>
      </c>
      <c r="N185" s="2" t="s">
        <v>965</v>
      </c>
      <c r="O185" s="2">
        <v>1.0064E-4</v>
      </c>
      <c r="P185" s="2">
        <v>127422353</v>
      </c>
      <c r="Q185" s="2">
        <v>105</v>
      </c>
    </row>
    <row r="186" spans="1:17" x14ac:dyDescent="0.25">
      <c r="A186" s="1">
        <v>43424</v>
      </c>
      <c r="B186" s="2" t="s">
        <v>966</v>
      </c>
      <c r="C186" s="2" t="s">
        <v>967</v>
      </c>
      <c r="D186" s="2">
        <v>288318</v>
      </c>
      <c r="E186" s="2" t="s">
        <v>968</v>
      </c>
      <c r="F186" s="2" t="s">
        <v>969</v>
      </c>
      <c r="G186" s="2" t="s">
        <v>970</v>
      </c>
      <c r="H186" s="2">
        <v>83949299509.899994</v>
      </c>
      <c r="I186" s="2">
        <v>1650</v>
      </c>
      <c r="J186" s="2">
        <v>69.36765011</v>
      </c>
      <c r="K186" s="2">
        <v>768696</v>
      </c>
      <c r="L186" s="2">
        <v>6653303141410</v>
      </c>
      <c r="M186" s="2">
        <v>423180</v>
      </c>
      <c r="N186" s="2" t="s">
        <v>971</v>
      </c>
      <c r="O186" s="2">
        <v>1.1718E-4</v>
      </c>
      <c r="P186" s="2">
        <v>158893720</v>
      </c>
      <c r="Q186" s="2">
        <v>132</v>
      </c>
    </row>
    <row r="187" spans="1:17" x14ac:dyDescent="0.25">
      <c r="A187" s="1">
        <v>43423</v>
      </c>
      <c r="B187" s="2" t="s">
        <v>972</v>
      </c>
      <c r="C187" s="2" t="s">
        <v>973</v>
      </c>
      <c r="D187" s="2">
        <v>267845</v>
      </c>
      <c r="E187" s="2" t="s">
        <v>974</v>
      </c>
      <c r="F187" s="2" t="s">
        <v>975</v>
      </c>
      <c r="G187" s="2" t="s">
        <v>976</v>
      </c>
      <c r="H187" s="2">
        <v>84615682497.399994</v>
      </c>
      <c r="I187" s="2">
        <v>1575</v>
      </c>
      <c r="J187" s="2">
        <v>39.969486099999997</v>
      </c>
      <c r="K187" s="2">
        <v>674503</v>
      </c>
      <c r="L187" s="2">
        <v>6653303141410</v>
      </c>
      <c r="M187" s="2">
        <v>361918</v>
      </c>
      <c r="N187" s="2" t="s">
        <v>977</v>
      </c>
      <c r="O187" s="2">
        <v>7.5939999999999995E-5</v>
      </c>
      <c r="P187" s="2">
        <v>138689706</v>
      </c>
      <c r="Q187" s="2">
        <v>126</v>
      </c>
    </row>
    <row r="188" spans="1:17" x14ac:dyDescent="0.25">
      <c r="A188" s="1">
        <v>43422</v>
      </c>
      <c r="B188" s="2" t="s">
        <v>978</v>
      </c>
      <c r="C188" s="2" t="s">
        <v>979</v>
      </c>
      <c r="D188" s="2">
        <v>239680</v>
      </c>
      <c r="E188" s="2" t="s">
        <v>980</v>
      </c>
      <c r="F188" s="2" t="s">
        <v>981</v>
      </c>
      <c r="G188" s="2" t="s">
        <v>982</v>
      </c>
      <c r="H188" s="2">
        <v>84972065778.199997</v>
      </c>
      <c r="I188" s="2">
        <v>1537.5</v>
      </c>
      <c r="J188" s="2">
        <v>18.03746701</v>
      </c>
      <c r="K188" s="2">
        <v>549212</v>
      </c>
      <c r="L188" s="2">
        <v>6653303141410</v>
      </c>
      <c r="M188" s="2">
        <v>301260</v>
      </c>
      <c r="N188" s="2" t="s">
        <v>983</v>
      </c>
      <c r="O188" s="2">
        <v>3.1359999999999998E-5</v>
      </c>
      <c r="P188" s="2">
        <v>117375788</v>
      </c>
      <c r="Q188" s="2">
        <v>123</v>
      </c>
    </row>
    <row r="189" spans="1:17" x14ac:dyDescent="0.25">
      <c r="A189" s="1">
        <v>43421</v>
      </c>
      <c r="B189" s="2" t="s">
        <v>984</v>
      </c>
      <c r="C189" s="2" t="s">
        <v>985</v>
      </c>
      <c r="D189" s="2">
        <v>262504</v>
      </c>
      <c r="E189" s="2" t="s">
        <v>986</v>
      </c>
      <c r="F189" s="2" t="s">
        <v>987</v>
      </c>
      <c r="G189" s="2" t="s">
        <v>988</v>
      </c>
      <c r="H189" s="2">
        <v>84986271894</v>
      </c>
      <c r="I189" s="2">
        <v>1812.5</v>
      </c>
      <c r="J189" s="2">
        <v>21.550994150000001</v>
      </c>
      <c r="K189" s="2">
        <v>594727</v>
      </c>
      <c r="L189" s="2">
        <v>6653303141410</v>
      </c>
      <c r="M189" s="2">
        <v>331167</v>
      </c>
      <c r="N189" s="2" t="s">
        <v>989</v>
      </c>
      <c r="O189" s="2">
        <v>3.9690000000000001E-5</v>
      </c>
      <c r="P189" s="2">
        <v>132566086</v>
      </c>
      <c r="Q189" s="2">
        <v>145</v>
      </c>
    </row>
    <row r="190" spans="1:17" x14ac:dyDescent="0.25">
      <c r="A190" s="1">
        <v>43420</v>
      </c>
      <c r="B190" s="2" t="s">
        <v>990</v>
      </c>
      <c r="C190" s="2" t="s">
        <v>991</v>
      </c>
      <c r="D190" s="2">
        <v>282998</v>
      </c>
      <c r="E190" s="2" t="s">
        <v>992</v>
      </c>
      <c r="F190" s="2" t="s">
        <v>993</v>
      </c>
      <c r="G190" s="2" t="s">
        <v>994</v>
      </c>
      <c r="H190" s="2">
        <v>85020414676.300003</v>
      </c>
      <c r="I190" s="2">
        <v>1575</v>
      </c>
      <c r="J190" s="2">
        <v>36.927293839999997</v>
      </c>
      <c r="K190" s="2">
        <v>713931</v>
      </c>
      <c r="L190" s="2">
        <v>7175974755380</v>
      </c>
      <c r="M190" s="2">
        <v>417421</v>
      </c>
      <c r="N190" s="2" t="s">
        <v>995</v>
      </c>
      <c r="O190" s="2">
        <v>6.7199999999999994E-5</v>
      </c>
      <c r="P190" s="2">
        <v>145929873</v>
      </c>
      <c r="Q190" s="2">
        <v>126</v>
      </c>
    </row>
    <row r="191" spans="1:17" x14ac:dyDescent="0.25">
      <c r="A191" s="1">
        <v>43419</v>
      </c>
      <c r="B191" s="2" t="s">
        <v>996</v>
      </c>
      <c r="C191" s="2" t="s">
        <v>997</v>
      </c>
      <c r="D191" s="2">
        <v>291398</v>
      </c>
      <c r="E191" s="2" t="s">
        <v>998</v>
      </c>
      <c r="F191" s="2" t="s">
        <v>999</v>
      </c>
      <c r="G191" s="2" t="s">
        <v>1000</v>
      </c>
      <c r="H191" s="2">
        <v>85142197653.199997</v>
      </c>
      <c r="I191" s="2">
        <v>1587.49999929</v>
      </c>
      <c r="J191" s="2">
        <v>38.651180539999999</v>
      </c>
      <c r="K191" s="2">
        <v>720036</v>
      </c>
      <c r="L191" s="2">
        <v>7184404942700</v>
      </c>
      <c r="M191" s="2">
        <v>407567</v>
      </c>
      <c r="N191" s="2" t="s">
        <v>1001</v>
      </c>
      <c r="O191" s="2">
        <v>6.1119999999999998E-5</v>
      </c>
      <c r="P191" s="2">
        <v>151592924</v>
      </c>
      <c r="Q191" s="2">
        <v>127</v>
      </c>
    </row>
    <row r="192" spans="1:17" x14ac:dyDescent="0.25">
      <c r="A192" s="1">
        <v>43418</v>
      </c>
      <c r="B192" s="2" t="s">
        <v>1002</v>
      </c>
      <c r="C192" s="2" t="s">
        <v>1003</v>
      </c>
      <c r="D192" s="2">
        <v>292620</v>
      </c>
      <c r="E192" s="2" t="s">
        <v>1004</v>
      </c>
      <c r="F192" s="2" t="s">
        <v>1005</v>
      </c>
      <c r="G192" s="2" t="s">
        <v>1006</v>
      </c>
      <c r="H192" s="2">
        <v>85734550898.699997</v>
      </c>
      <c r="I192" s="2">
        <v>1687.5</v>
      </c>
      <c r="J192" s="2">
        <v>25.823371170000001</v>
      </c>
      <c r="K192" s="2">
        <v>727949</v>
      </c>
      <c r="L192" s="2">
        <v>7184404942700</v>
      </c>
      <c r="M192" s="2">
        <v>403928</v>
      </c>
      <c r="N192" s="2" t="s">
        <v>1007</v>
      </c>
      <c r="O192" s="2">
        <v>3.4199999999999998E-5</v>
      </c>
      <c r="P192" s="2">
        <v>147794850</v>
      </c>
      <c r="Q192" s="2">
        <v>135</v>
      </c>
    </row>
    <row r="193" spans="1:17" x14ac:dyDescent="0.25">
      <c r="A193" s="1">
        <v>43417</v>
      </c>
      <c r="B193" s="2" t="s">
        <v>1008</v>
      </c>
      <c r="C193" s="2" t="s">
        <v>1009</v>
      </c>
      <c r="D193" s="2">
        <v>279040</v>
      </c>
      <c r="E193" s="2" t="s">
        <v>1010</v>
      </c>
      <c r="F193" s="2" t="s">
        <v>1011</v>
      </c>
      <c r="G193" s="2" t="s">
        <v>1012</v>
      </c>
      <c r="H193" s="2">
        <v>85913306569.600006</v>
      </c>
      <c r="I193" s="2">
        <v>1500</v>
      </c>
      <c r="J193" s="2">
        <v>18.07251239</v>
      </c>
      <c r="K193" s="2">
        <v>650640</v>
      </c>
      <c r="L193" s="2">
        <v>7184404942700</v>
      </c>
      <c r="M193" s="2">
        <v>364696</v>
      </c>
      <c r="N193" s="2" t="s">
        <v>1013</v>
      </c>
      <c r="O193" s="2">
        <v>2.1970000000000001E-5</v>
      </c>
      <c r="P193" s="2">
        <v>133200392</v>
      </c>
      <c r="Q193" s="2">
        <v>120</v>
      </c>
    </row>
    <row r="194" spans="1:17" x14ac:dyDescent="0.25">
      <c r="A194" s="1">
        <v>43416</v>
      </c>
      <c r="B194" s="2" t="s">
        <v>1014</v>
      </c>
      <c r="C194" s="2" t="s">
        <v>1015</v>
      </c>
      <c r="D194" s="2">
        <v>299866</v>
      </c>
      <c r="E194" s="2" t="s">
        <v>1016</v>
      </c>
      <c r="F194" s="2" t="s">
        <v>1017</v>
      </c>
      <c r="G194" s="2" t="s">
        <v>1018</v>
      </c>
      <c r="H194" s="2">
        <v>85948864355.5</v>
      </c>
      <c r="I194" s="2">
        <v>1750</v>
      </c>
      <c r="J194" s="2">
        <v>19.171997569999998</v>
      </c>
      <c r="K194" s="2">
        <v>683388</v>
      </c>
      <c r="L194" s="2">
        <v>7184404942700</v>
      </c>
      <c r="M194" s="2">
        <v>382504</v>
      </c>
      <c r="N194" s="2" t="s">
        <v>1019</v>
      </c>
      <c r="O194" s="2">
        <v>2.1679999999999999E-5</v>
      </c>
      <c r="P194" s="2">
        <v>149362860</v>
      </c>
      <c r="Q194" s="2">
        <v>140</v>
      </c>
    </row>
    <row r="195" spans="1:17" x14ac:dyDescent="0.25">
      <c r="A195" s="1">
        <v>43415</v>
      </c>
      <c r="B195" s="2" t="s">
        <v>1020</v>
      </c>
      <c r="C195" s="2" t="s">
        <v>1021</v>
      </c>
      <c r="D195" s="2">
        <v>246845</v>
      </c>
      <c r="E195" s="2" t="s">
        <v>1022</v>
      </c>
      <c r="F195" s="2" t="s">
        <v>1023</v>
      </c>
      <c r="G195" s="2" t="s">
        <v>1024</v>
      </c>
      <c r="H195" s="2">
        <v>85952408772.100006</v>
      </c>
      <c r="I195" s="2">
        <v>1825</v>
      </c>
      <c r="J195" s="2">
        <v>14.13978687</v>
      </c>
      <c r="K195" s="2">
        <v>590387</v>
      </c>
      <c r="L195" s="2">
        <v>7184404942700</v>
      </c>
      <c r="M195" s="2">
        <v>310410</v>
      </c>
      <c r="N195" s="2" t="s">
        <v>1025</v>
      </c>
      <c r="O195" s="2">
        <v>2.1679999999999999E-5</v>
      </c>
      <c r="P195" s="2">
        <v>127613095</v>
      </c>
      <c r="Q195" s="2">
        <v>146</v>
      </c>
    </row>
    <row r="196" spans="1:17" x14ac:dyDescent="0.25">
      <c r="A196" s="1">
        <v>43414</v>
      </c>
      <c r="B196" s="2" t="s">
        <v>1026</v>
      </c>
      <c r="C196" s="2" t="s">
        <v>1027</v>
      </c>
      <c r="D196" s="2">
        <v>252368</v>
      </c>
      <c r="E196" s="2" t="s">
        <v>1028</v>
      </c>
      <c r="F196" s="2" t="s">
        <v>1029</v>
      </c>
      <c r="G196" s="2" t="s">
        <v>1030</v>
      </c>
      <c r="H196" s="2">
        <v>85943992086</v>
      </c>
      <c r="I196" s="2">
        <v>1637.5</v>
      </c>
      <c r="J196" s="2">
        <v>16.64920253</v>
      </c>
      <c r="K196" s="2">
        <v>595444</v>
      </c>
      <c r="L196" s="2">
        <v>7184404942700</v>
      </c>
      <c r="M196" s="2">
        <v>329095</v>
      </c>
      <c r="N196" s="2" t="s">
        <v>1031</v>
      </c>
      <c r="O196" s="2">
        <v>2.6259999999999999E-5</v>
      </c>
      <c r="P196" s="2">
        <v>125177615</v>
      </c>
      <c r="Q196" s="2">
        <v>131</v>
      </c>
    </row>
    <row r="197" spans="1:17" x14ac:dyDescent="0.25">
      <c r="A197" s="1">
        <v>43413</v>
      </c>
      <c r="B197" s="2" t="s">
        <v>1032</v>
      </c>
      <c r="C197" s="2" t="s">
        <v>1033</v>
      </c>
      <c r="D197" s="2">
        <v>283769</v>
      </c>
      <c r="E197" s="2" t="s">
        <v>1034</v>
      </c>
      <c r="F197" s="2" t="s">
        <v>1035</v>
      </c>
      <c r="G197" s="2" t="s">
        <v>1036</v>
      </c>
      <c r="H197" s="2">
        <v>85941153339.199997</v>
      </c>
      <c r="I197" s="2">
        <v>1587.5</v>
      </c>
      <c r="J197" s="2">
        <v>22.428965819999998</v>
      </c>
      <c r="K197" s="2">
        <v>704879</v>
      </c>
      <c r="L197" s="2">
        <v>7184404942700</v>
      </c>
      <c r="M197" s="2">
        <v>410260</v>
      </c>
      <c r="N197" s="2" t="s">
        <v>1037</v>
      </c>
      <c r="O197" s="2">
        <v>2.8949999999999999E-5</v>
      </c>
      <c r="P197" s="2">
        <v>144169864</v>
      </c>
      <c r="Q197" s="2">
        <v>127</v>
      </c>
    </row>
    <row r="198" spans="1:17" x14ac:dyDescent="0.25">
      <c r="A198" s="1">
        <v>43412</v>
      </c>
      <c r="B198" s="2" t="s">
        <v>1038</v>
      </c>
      <c r="C198" s="2" t="s">
        <v>1039</v>
      </c>
      <c r="D198" s="2">
        <v>277476</v>
      </c>
      <c r="E198" s="2" t="s">
        <v>1040</v>
      </c>
      <c r="F198" s="2" t="s">
        <v>1041</v>
      </c>
      <c r="G198" s="2" t="s">
        <v>1042</v>
      </c>
      <c r="H198" s="2">
        <v>85940961480.100006</v>
      </c>
      <c r="I198" s="2">
        <v>1512.5</v>
      </c>
      <c r="J198" s="2">
        <v>20.998903989999999</v>
      </c>
      <c r="K198" s="2">
        <v>700117</v>
      </c>
      <c r="L198" s="2">
        <v>7184404942700</v>
      </c>
      <c r="M198" s="2">
        <v>363797</v>
      </c>
      <c r="N198" s="2" t="s">
        <v>1043</v>
      </c>
      <c r="O198" s="2">
        <v>3.025E-5</v>
      </c>
      <c r="P198" s="2">
        <v>141565839</v>
      </c>
      <c r="Q198" s="2">
        <v>121</v>
      </c>
    </row>
    <row r="199" spans="1:17" x14ac:dyDescent="0.25">
      <c r="A199" s="1">
        <v>43411</v>
      </c>
      <c r="B199" s="2" t="s">
        <v>1044</v>
      </c>
      <c r="C199" s="2" t="s">
        <v>1045</v>
      </c>
      <c r="D199" s="2">
        <v>293604</v>
      </c>
      <c r="E199" s="2" t="s">
        <v>1046</v>
      </c>
      <c r="F199" s="2" t="s">
        <v>1047</v>
      </c>
      <c r="G199" s="2" t="s">
        <v>1048</v>
      </c>
      <c r="H199" s="2">
        <v>85939933385.600006</v>
      </c>
      <c r="I199" s="2">
        <v>1624.9999992600001</v>
      </c>
      <c r="J199" s="2">
        <v>20.338410840000002</v>
      </c>
      <c r="K199" s="2">
        <v>705209</v>
      </c>
      <c r="L199" s="2">
        <v>7184404942700</v>
      </c>
      <c r="M199" s="2">
        <v>380491</v>
      </c>
      <c r="N199" s="2" t="s">
        <v>1049</v>
      </c>
      <c r="O199" s="2">
        <v>2.514E-5</v>
      </c>
      <c r="P199" s="2">
        <v>148740910</v>
      </c>
      <c r="Q199" s="2">
        <v>130</v>
      </c>
    </row>
    <row r="200" spans="1:17" x14ac:dyDescent="0.25">
      <c r="A200" s="1">
        <v>43410</v>
      </c>
      <c r="B200" s="2" t="s">
        <v>1050</v>
      </c>
      <c r="C200" s="2" t="s">
        <v>1051</v>
      </c>
      <c r="D200" s="2">
        <v>285323</v>
      </c>
      <c r="E200" s="2" t="s">
        <v>1052</v>
      </c>
      <c r="F200" s="2" t="s">
        <v>1053</v>
      </c>
      <c r="G200" s="2" t="s">
        <v>1054</v>
      </c>
      <c r="H200" s="2">
        <v>85919082709.399994</v>
      </c>
      <c r="I200" s="2">
        <v>1600</v>
      </c>
      <c r="J200" s="2">
        <v>19.18392815</v>
      </c>
      <c r="K200" s="2">
        <v>694055</v>
      </c>
      <c r="L200" s="2">
        <v>7184404942700</v>
      </c>
      <c r="M200" s="2">
        <v>371603</v>
      </c>
      <c r="N200" s="2" t="s">
        <v>1055</v>
      </c>
      <c r="O200" s="2">
        <v>2.101E-5</v>
      </c>
      <c r="P200" s="2">
        <v>137220920</v>
      </c>
      <c r="Q200" s="2">
        <v>128</v>
      </c>
    </row>
    <row r="201" spans="1:17" x14ac:dyDescent="0.25">
      <c r="A201" s="1">
        <v>43409</v>
      </c>
      <c r="B201" s="2" t="s">
        <v>1056</v>
      </c>
      <c r="C201" s="2" t="s">
        <v>1057</v>
      </c>
      <c r="D201" s="2">
        <v>296139</v>
      </c>
      <c r="E201" s="2" t="s">
        <v>1058</v>
      </c>
      <c r="F201" s="2" t="s">
        <v>1059</v>
      </c>
      <c r="G201" s="2" t="s">
        <v>1060</v>
      </c>
      <c r="H201" s="2">
        <v>85913713918</v>
      </c>
      <c r="I201" s="2">
        <v>1800</v>
      </c>
      <c r="J201" s="2">
        <v>18.688729720000001</v>
      </c>
      <c r="K201" s="2">
        <v>712976</v>
      </c>
      <c r="L201" s="2">
        <v>7184404942700</v>
      </c>
      <c r="M201" s="2">
        <v>389905</v>
      </c>
      <c r="N201" s="2" t="s">
        <v>1061</v>
      </c>
      <c r="O201" s="2">
        <v>1.8669999999999999E-5</v>
      </c>
      <c r="P201" s="2">
        <v>150387577</v>
      </c>
      <c r="Q201" s="2">
        <v>144</v>
      </c>
    </row>
    <row r="202" spans="1:17" x14ac:dyDescent="0.25">
      <c r="A202" s="1">
        <v>43408</v>
      </c>
      <c r="B202" s="2" t="s">
        <v>1062</v>
      </c>
      <c r="C202" s="2" t="s">
        <v>1063</v>
      </c>
      <c r="D202" s="2">
        <v>226124</v>
      </c>
      <c r="E202" s="2" t="s">
        <v>1064</v>
      </c>
      <c r="F202" s="2" t="s">
        <v>1065</v>
      </c>
      <c r="G202" s="2" t="s">
        <v>1066</v>
      </c>
      <c r="H202" s="2">
        <v>85915541432</v>
      </c>
      <c r="I202" s="2">
        <v>1537.5</v>
      </c>
      <c r="J202" s="2">
        <v>12.83578294</v>
      </c>
      <c r="K202" s="2">
        <v>619063</v>
      </c>
      <c r="L202" s="2">
        <v>7184404942700</v>
      </c>
      <c r="M202" s="2">
        <v>296601</v>
      </c>
      <c r="N202" s="2" t="s">
        <v>1067</v>
      </c>
      <c r="O202" s="2">
        <v>1.4250000000000001E-5</v>
      </c>
      <c r="P202" s="2">
        <v>127328046</v>
      </c>
      <c r="Q202" s="2">
        <v>123</v>
      </c>
    </row>
    <row r="203" spans="1:17" x14ac:dyDescent="0.25">
      <c r="A203" s="1">
        <v>43407</v>
      </c>
      <c r="B203" s="2" t="s">
        <v>1068</v>
      </c>
      <c r="C203" s="2" t="s">
        <v>1069</v>
      </c>
      <c r="D203" s="2">
        <v>249403</v>
      </c>
      <c r="E203" s="2" t="s">
        <v>1070</v>
      </c>
      <c r="F203" s="2" t="s">
        <v>1071</v>
      </c>
      <c r="G203" s="2" t="s">
        <v>1072</v>
      </c>
      <c r="H203" s="2">
        <v>85904622845.699997</v>
      </c>
      <c r="I203" s="2">
        <v>2012.4999992600001</v>
      </c>
      <c r="J203" s="2">
        <v>13.59185156</v>
      </c>
      <c r="K203" s="2">
        <v>641974</v>
      </c>
      <c r="L203" s="2">
        <v>7184404942700</v>
      </c>
      <c r="M203" s="2">
        <v>330586</v>
      </c>
      <c r="N203" s="2" t="s">
        <v>1073</v>
      </c>
      <c r="O203" s="2">
        <v>1.452E-5</v>
      </c>
      <c r="P203" s="2">
        <v>142573631</v>
      </c>
      <c r="Q203" s="2">
        <v>161</v>
      </c>
    </row>
    <row r="204" spans="1:17" x14ac:dyDescent="0.25">
      <c r="A204" s="1">
        <v>43406</v>
      </c>
      <c r="B204" s="2" t="s">
        <v>1074</v>
      </c>
      <c r="C204" s="2" t="s">
        <v>1075</v>
      </c>
      <c r="D204" s="2">
        <v>292561</v>
      </c>
      <c r="E204" s="2" t="s">
        <v>1076</v>
      </c>
      <c r="F204" s="2" t="s">
        <v>1077</v>
      </c>
      <c r="G204" s="2" t="s">
        <v>1078</v>
      </c>
      <c r="H204" s="2">
        <v>85902896956</v>
      </c>
      <c r="I204" s="2">
        <v>1787.5</v>
      </c>
      <c r="J204" s="2">
        <v>18.32471846</v>
      </c>
      <c r="K204" s="2">
        <v>769117</v>
      </c>
      <c r="L204" s="2">
        <v>7184404942700</v>
      </c>
      <c r="M204" s="2">
        <v>432929</v>
      </c>
      <c r="N204" s="2" t="s">
        <v>1079</v>
      </c>
      <c r="O204" s="2">
        <v>1.995E-5</v>
      </c>
      <c r="P204" s="2">
        <v>159738855</v>
      </c>
      <c r="Q204" s="2">
        <v>143</v>
      </c>
    </row>
    <row r="205" spans="1:17" x14ac:dyDescent="0.25">
      <c r="A205" s="1">
        <v>43405</v>
      </c>
      <c r="B205" s="2" t="s">
        <v>1080</v>
      </c>
      <c r="C205" s="2" t="s">
        <v>1081</v>
      </c>
      <c r="D205" s="2">
        <v>281787</v>
      </c>
      <c r="E205" s="2" t="s">
        <v>1082</v>
      </c>
      <c r="F205" s="2" t="s">
        <v>1083</v>
      </c>
      <c r="G205" s="2" t="s">
        <v>1084</v>
      </c>
      <c r="H205" s="2">
        <v>85898088500.399994</v>
      </c>
      <c r="I205" s="2">
        <v>1925</v>
      </c>
      <c r="J205" s="2">
        <v>17.459388870000002</v>
      </c>
      <c r="K205" s="2">
        <v>692504</v>
      </c>
      <c r="L205" s="2">
        <v>7183013626020</v>
      </c>
      <c r="M205" s="2">
        <v>370115</v>
      </c>
      <c r="N205" s="2" t="s">
        <v>1085</v>
      </c>
      <c r="O205" s="2">
        <v>1.6200000000000001E-5</v>
      </c>
      <c r="P205" s="2">
        <v>150836102</v>
      </c>
      <c r="Q205" s="2">
        <v>154</v>
      </c>
    </row>
    <row r="206" spans="1:17" x14ac:dyDescent="0.25">
      <c r="A206" s="1">
        <v>43404</v>
      </c>
      <c r="B206" s="2" t="s">
        <v>1086</v>
      </c>
      <c r="C206" s="2" t="s">
        <v>1087</v>
      </c>
      <c r="D206" s="2">
        <v>288120</v>
      </c>
      <c r="E206" s="2" t="s">
        <v>1088</v>
      </c>
      <c r="F206" s="2" t="s">
        <v>1089</v>
      </c>
      <c r="G206" s="2" t="s">
        <v>1090</v>
      </c>
      <c r="H206" s="2">
        <v>85935972228.300003</v>
      </c>
      <c r="I206" s="2">
        <v>2037.5</v>
      </c>
      <c r="J206" s="2">
        <v>16.652292760000002</v>
      </c>
      <c r="K206" s="2">
        <v>707291</v>
      </c>
      <c r="L206" s="2">
        <v>7182852313940</v>
      </c>
      <c r="M206" s="2">
        <v>374760</v>
      </c>
      <c r="N206" s="2" t="s">
        <v>1091</v>
      </c>
      <c r="O206" s="2">
        <v>1.7099999999999999E-5</v>
      </c>
      <c r="P206" s="2">
        <v>149681753</v>
      </c>
      <c r="Q206" s="2">
        <v>163</v>
      </c>
    </row>
    <row r="207" spans="1:17" x14ac:dyDescent="0.25">
      <c r="A207" s="1">
        <v>43403</v>
      </c>
      <c r="B207" s="2" t="s">
        <v>1092</v>
      </c>
      <c r="C207" s="2" t="s">
        <v>1093</v>
      </c>
      <c r="D207" s="2">
        <v>283173</v>
      </c>
      <c r="E207" s="2" t="s">
        <v>1094</v>
      </c>
      <c r="F207" s="2" t="s">
        <v>1095</v>
      </c>
      <c r="G207" s="2" t="s">
        <v>1096</v>
      </c>
      <c r="H207" s="2">
        <v>85964725121.699997</v>
      </c>
      <c r="I207" s="2">
        <v>1925</v>
      </c>
      <c r="J207" s="2">
        <v>18.771409420000001</v>
      </c>
      <c r="K207" s="2">
        <v>697601</v>
      </c>
      <c r="L207" s="2">
        <v>7182852313940</v>
      </c>
      <c r="M207" s="2">
        <v>368799</v>
      </c>
      <c r="N207" s="2" t="s">
        <v>1097</v>
      </c>
      <c r="O207" s="2">
        <v>2.26E-5</v>
      </c>
      <c r="P207" s="2">
        <v>145324396</v>
      </c>
      <c r="Q207" s="2">
        <v>154</v>
      </c>
    </row>
    <row r="208" spans="1:17" x14ac:dyDescent="0.25">
      <c r="A208" s="1">
        <v>43402</v>
      </c>
      <c r="B208" s="2" t="s">
        <v>1098</v>
      </c>
      <c r="C208" s="2" t="s">
        <v>1099</v>
      </c>
      <c r="D208" s="2">
        <v>269608</v>
      </c>
      <c r="E208" s="2" t="s">
        <v>1100</v>
      </c>
      <c r="F208" s="2" t="s">
        <v>1101</v>
      </c>
      <c r="G208" s="2" t="s">
        <v>1102</v>
      </c>
      <c r="H208" s="2">
        <v>85981428371</v>
      </c>
      <c r="I208" s="2">
        <v>1825</v>
      </c>
      <c r="J208" s="2">
        <v>19.604175900000001</v>
      </c>
      <c r="K208" s="2">
        <v>708285</v>
      </c>
      <c r="L208" s="2">
        <v>7182852313940</v>
      </c>
      <c r="M208" s="2">
        <v>365187</v>
      </c>
      <c r="N208" s="2" t="s">
        <v>1103</v>
      </c>
      <c r="O208" s="2">
        <v>2.1800000000000001E-5</v>
      </c>
      <c r="P208" s="2">
        <v>143637809</v>
      </c>
      <c r="Q208" s="2">
        <v>146</v>
      </c>
    </row>
    <row r="209" spans="1:17" x14ac:dyDescent="0.25">
      <c r="A209" s="1">
        <v>43401</v>
      </c>
      <c r="B209" s="2" t="s">
        <v>1104</v>
      </c>
      <c r="C209" s="2" t="s">
        <v>1105</v>
      </c>
      <c r="D209" s="2">
        <v>219720</v>
      </c>
      <c r="E209" s="2" t="s">
        <v>1106</v>
      </c>
      <c r="F209" s="2" t="s">
        <v>1107</v>
      </c>
      <c r="G209" s="2" t="s">
        <v>1108</v>
      </c>
      <c r="H209" s="2">
        <v>86012551494.600006</v>
      </c>
      <c r="I209" s="2">
        <v>1750</v>
      </c>
      <c r="J209" s="2">
        <v>16.5139359</v>
      </c>
      <c r="K209" s="2">
        <v>560480</v>
      </c>
      <c r="L209" s="2">
        <v>7182852313940</v>
      </c>
      <c r="M209" s="2">
        <v>293012</v>
      </c>
      <c r="N209" s="2" t="s">
        <v>1109</v>
      </c>
      <c r="O209" s="2">
        <v>1.4250000000000001E-5</v>
      </c>
      <c r="P209" s="2">
        <v>115960266</v>
      </c>
      <c r="Q209" s="2">
        <v>140</v>
      </c>
    </row>
    <row r="210" spans="1:17" x14ac:dyDescent="0.25">
      <c r="A210" s="1">
        <v>43400</v>
      </c>
      <c r="B210" s="2" t="s">
        <v>1110</v>
      </c>
      <c r="C210" s="2" t="s">
        <v>1111</v>
      </c>
      <c r="D210" s="2">
        <v>233613</v>
      </c>
      <c r="E210" s="2" t="s">
        <v>1112</v>
      </c>
      <c r="F210" s="2" t="s">
        <v>1113</v>
      </c>
      <c r="G210" s="2" t="s">
        <v>1114</v>
      </c>
      <c r="H210" s="2">
        <v>86012448039.5</v>
      </c>
      <c r="I210" s="2">
        <v>1700</v>
      </c>
      <c r="J210" s="2">
        <v>13.09651959</v>
      </c>
      <c r="K210" s="2">
        <v>580054</v>
      </c>
      <c r="L210" s="2">
        <v>7182852313940</v>
      </c>
      <c r="M210" s="2">
        <v>299527</v>
      </c>
      <c r="N210" s="2" t="s">
        <v>1115</v>
      </c>
      <c r="O210" s="2">
        <v>1.5529999999999999E-5</v>
      </c>
      <c r="P210" s="2">
        <v>124286905</v>
      </c>
      <c r="Q210" s="2">
        <v>136</v>
      </c>
    </row>
    <row r="211" spans="1:17" x14ac:dyDescent="0.25">
      <c r="A211" s="1">
        <v>43399</v>
      </c>
      <c r="B211" s="2" t="s">
        <v>1116</v>
      </c>
      <c r="C211" s="2" t="s">
        <v>1117</v>
      </c>
      <c r="D211" s="2">
        <v>252859</v>
      </c>
      <c r="E211" s="2" t="s">
        <v>1118</v>
      </c>
      <c r="F211" s="2" t="s">
        <v>1119</v>
      </c>
      <c r="G211" s="2" t="s">
        <v>1120</v>
      </c>
      <c r="H211" s="2">
        <v>86011235440.5</v>
      </c>
      <c r="I211" s="2">
        <v>1787.5</v>
      </c>
      <c r="J211" s="2">
        <v>17.91509911</v>
      </c>
      <c r="K211" s="2">
        <v>691997</v>
      </c>
      <c r="L211" s="2">
        <v>7182852313940</v>
      </c>
      <c r="M211" s="2">
        <v>384423</v>
      </c>
      <c r="N211" s="2" t="s">
        <v>1121</v>
      </c>
      <c r="O211" s="2">
        <v>1.995E-5</v>
      </c>
      <c r="P211" s="2">
        <v>151300769</v>
      </c>
      <c r="Q211" s="2">
        <v>143</v>
      </c>
    </row>
    <row r="212" spans="1:17" x14ac:dyDescent="0.25">
      <c r="A212" s="1">
        <v>43398</v>
      </c>
      <c r="B212" s="2" t="s">
        <v>1122</v>
      </c>
      <c r="C212" s="2" t="s">
        <v>1123</v>
      </c>
      <c r="D212" s="2">
        <v>254462</v>
      </c>
      <c r="E212" s="2" t="s">
        <v>1124</v>
      </c>
      <c r="F212" s="2" t="s">
        <v>1125</v>
      </c>
      <c r="G212" s="2" t="s">
        <v>1126</v>
      </c>
      <c r="H212" s="2">
        <v>86090866579.800003</v>
      </c>
      <c r="I212" s="2">
        <v>1712.5</v>
      </c>
      <c r="J212" s="2">
        <v>17.539939919999998</v>
      </c>
      <c r="K212" s="2">
        <v>659220</v>
      </c>
      <c r="L212" s="2">
        <v>7182852313940</v>
      </c>
      <c r="M212" s="2">
        <v>401929</v>
      </c>
      <c r="N212" s="2" t="s">
        <v>1127</v>
      </c>
      <c r="O212" s="2">
        <v>2.0740000000000001E-5</v>
      </c>
      <c r="P212" s="2">
        <v>141853951</v>
      </c>
      <c r="Q212" s="2">
        <v>137</v>
      </c>
    </row>
    <row r="213" spans="1:17" x14ac:dyDescent="0.25">
      <c r="A213" s="1">
        <v>43397</v>
      </c>
      <c r="B213" s="2" t="s">
        <v>1128</v>
      </c>
      <c r="C213" s="2" t="s">
        <v>1129</v>
      </c>
      <c r="D213" s="2">
        <v>253978</v>
      </c>
      <c r="E213" s="2" t="s">
        <v>1130</v>
      </c>
      <c r="F213" s="2" t="s">
        <v>1131</v>
      </c>
      <c r="G213" s="2" t="s">
        <v>1132</v>
      </c>
      <c r="H213" s="2">
        <v>86116062746.800003</v>
      </c>
      <c r="I213" s="2">
        <v>1412.5</v>
      </c>
      <c r="J213" s="2">
        <v>16.941689520000001</v>
      </c>
      <c r="K213" s="2">
        <v>637741</v>
      </c>
      <c r="L213" s="2">
        <v>7182852313940</v>
      </c>
      <c r="M213" s="2">
        <v>354573</v>
      </c>
      <c r="N213" s="2" t="s">
        <v>1133</v>
      </c>
      <c r="O213" s="2">
        <v>2.016E-5</v>
      </c>
      <c r="P213" s="2">
        <v>129007193</v>
      </c>
      <c r="Q213" s="2">
        <v>113</v>
      </c>
    </row>
    <row r="214" spans="1:17" x14ac:dyDescent="0.25">
      <c r="A214" s="1">
        <v>43396</v>
      </c>
      <c r="B214" s="2" t="s">
        <v>1134</v>
      </c>
      <c r="C214" s="2" t="s">
        <v>1135</v>
      </c>
      <c r="D214" s="2">
        <v>253309</v>
      </c>
      <c r="E214" s="2" t="s">
        <v>1136</v>
      </c>
      <c r="F214" s="2" t="s">
        <v>1137</v>
      </c>
      <c r="G214" s="2" t="s">
        <v>1138</v>
      </c>
      <c r="H214" s="2">
        <v>86125487252</v>
      </c>
      <c r="I214" s="2">
        <v>1924.9999992</v>
      </c>
      <c r="J214" s="2">
        <v>16.583319920000001</v>
      </c>
      <c r="K214" s="2">
        <v>683587</v>
      </c>
      <c r="L214" s="2">
        <v>7182852313940</v>
      </c>
      <c r="M214" s="2">
        <v>360591</v>
      </c>
      <c r="N214" s="2" t="s">
        <v>1139</v>
      </c>
      <c r="O214" s="2">
        <v>1.8899999999999999E-5</v>
      </c>
      <c r="P214" s="2">
        <v>143568104</v>
      </c>
      <c r="Q214" s="2">
        <v>154</v>
      </c>
    </row>
    <row r="215" spans="1:17" x14ac:dyDescent="0.25">
      <c r="A215" s="1">
        <v>43395</v>
      </c>
      <c r="B215" s="2" t="s">
        <v>1140</v>
      </c>
      <c r="C215" s="2" t="s">
        <v>1141</v>
      </c>
      <c r="D215" s="2">
        <v>255169</v>
      </c>
      <c r="E215" s="2" t="s">
        <v>1142</v>
      </c>
      <c r="F215" s="2" t="s">
        <v>1143</v>
      </c>
      <c r="G215" s="2" t="s">
        <v>1144</v>
      </c>
      <c r="H215" s="2">
        <v>86146421446.100006</v>
      </c>
      <c r="I215" s="2">
        <v>1937.5</v>
      </c>
      <c r="J215" s="2">
        <v>16.6995118</v>
      </c>
      <c r="K215" s="2">
        <v>676895</v>
      </c>
      <c r="L215" s="2">
        <v>7182852313940</v>
      </c>
      <c r="M215" s="2">
        <v>363791</v>
      </c>
      <c r="N215" s="2" t="s">
        <v>1145</v>
      </c>
      <c r="O215" s="2">
        <v>1.808E-5</v>
      </c>
      <c r="P215" s="2">
        <v>142063633</v>
      </c>
      <c r="Q215" s="2">
        <v>155</v>
      </c>
    </row>
    <row r="216" spans="1:17" x14ac:dyDescent="0.25">
      <c r="A216" s="1">
        <v>43394</v>
      </c>
      <c r="B216" s="2" t="s">
        <v>1146</v>
      </c>
      <c r="C216" s="2" t="s">
        <v>1147</v>
      </c>
      <c r="D216" s="2">
        <v>211367</v>
      </c>
      <c r="E216" s="2" t="s">
        <v>1148</v>
      </c>
      <c r="F216" s="2" t="s">
        <v>1149</v>
      </c>
      <c r="G216" s="2" t="s">
        <v>1150</v>
      </c>
      <c r="H216" s="2">
        <v>86165719078.800003</v>
      </c>
      <c r="I216" s="2">
        <v>1725</v>
      </c>
      <c r="J216" s="2">
        <v>12.46404029</v>
      </c>
      <c r="K216" s="2">
        <v>554355</v>
      </c>
      <c r="L216" s="2">
        <v>7182852313940</v>
      </c>
      <c r="M216" s="2">
        <v>295320</v>
      </c>
      <c r="N216" s="2" t="s">
        <v>1151</v>
      </c>
      <c r="O216" s="2">
        <v>1.3890000000000001E-5</v>
      </c>
      <c r="P216" s="2">
        <v>113648536</v>
      </c>
      <c r="Q216" s="2">
        <v>138</v>
      </c>
    </row>
    <row r="217" spans="1:17" x14ac:dyDescent="0.25">
      <c r="A217" s="1">
        <v>43393</v>
      </c>
      <c r="B217" s="2" t="s">
        <v>1152</v>
      </c>
      <c r="C217" s="2" t="s">
        <v>1153</v>
      </c>
      <c r="D217" s="2">
        <v>227678</v>
      </c>
      <c r="E217" s="2" t="s">
        <v>1154</v>
      </c>
      <c r="F217" s="2" t="s">
        <v>1155</v>
      </c>
      <c r="G217" s="2" t="s">
        <v>1156</v>
      </c>
      <c r="H217" s="2">
        <v>86163094313.399994</v>
      </c>
      <c r="I217" s="2">
        <v>1787.5</v>
      </c>
      <c r="J217" s="2">
        <v>14.32509812</v>
      </c>
      <c r="K217" s="2">
        <v>593963</v>
      </c>
      <c r="L217" s="2">
        <v>7182852313940</v>
      </c>
      <c r="M217" s="2">
        <v>316399</v>
      </c>
      <c r="N217" s="2" t="s">
        <v>1157</v>
      </c>
      <c r="O217" s="2">
        <v>1.626E-5</v>
      </c>
      <c r="P217" s="2">
        <v>126967625</v>
      </c>
      <c r="Q217" s="2">
        <v>143</v>
      </c>
    </row>
    <row r="218" spans="1:17" x14ac:dyDescent="0.25">
      <c r="A218" s="1">
        <v>43392</v>
      </c>
      <c r="B218" s="2" t="s">
        <v>1158</v>
      </c>
      <c r="C218" s="2" t="s">
        <v>1159</v>
      </c>
      <c r="D218" s="2">
        <v>253684</v>
      </c>
      <c r="E218" s="2" t="s">
        <v>1160</v>
      </c>
      <c r="F218" s="2" t="s">
        <v>1161</v>
      </c>
      <c r="G218" s="2" t="s">
        <v>1162</v>
      </c>
      <c r="H218" s="2">
        <v>86586753906.699997</v>
      </c>
      <c r="I218" s="2">
        <v>1775</v>
      </c>
      <c r="J218" s="2">
        <v>17.65876226</v>
      </c>
      <c r="K218" s="2">
        <v>685201</v>
      </c>
      <c r="L218" s="2">
        <v>7182852313940</v>
      </c>
      <c r="M218" s="2">
        <v>383915</v>
      </c>
      <c r="N218" s="2" t="s">
        <v>1163</v>
      </c>
      <c r="O218" s="2">
        <v>2.1420000000000002E-5</v>
      </c>
      <c r="P218" s="2">
        <v>144576994</v>
      </c>
      <c r="Q218" s="2">
        <v>142</v>
      </c>
    </row>
    <row r="219" spans="1:17" x14ac:dyDescent="0.25">
      <c r="A219" s="1">
        <v>43391</v>
      </c>
      <c r="B219" s="2" t="s">
        <v>1164</v>
      </c>
      <c r="C219" s="2" t="s">
        <v>1165</v>
      </c>
      <c r="D219" s="2">
        <v>253312</v>
      </c>
      <c r="E219" s="2" t="s">
        <v>1166</v>
      </c>
      <c r="F219" s="2" t="s">
        <v>1167</v>
      </c>
      <c r="G219" s="2" t="s">
        <v>1168</v>
      </c>
      <c r="H219" s="2">
        <v>86553355312.899994</v>
      </c>
      <c r="I219" s="2">
        <v>1725</v>
      </c>
      <c r="J219" s="2">
        <v>18.059261670000001</v>
      </c>
      <c r="K219" s="2">
        <v>654573</v>
      </c>
      <c r="L219" s="2">
        <v>7427362643330</v>
      </c>
      <c r="M219" s="2">
        <v>355324</v>
      </c>
      <c r="N219" s="2" t="s">
        <v>1169</v>
      </c>
      <c r="O219" s="2">
        <v>2.1840000000000001E-5</v>
      </c>
      <c r="P219" s="2">
        <v>137476711</v>
      </c>
      <c r="Q219" s="2">
        <v>138</v>
      </c>
    </row>
    <row r="220" spans="1:17" x14ac:dyDescent="0.25">
      <c r="A220" s="1">
        <v>43390</v>
      </c>
      <c r="B220" s="2" t="s">
        <v>1170</v>
      </c>
      <c r="C220" s="2" t="s">
        <v>1171</v>
      </c>
      <c r="D220" s="2">
        <v>260224</v>
      </c>
      <c r="E220" s="2" t="s">
        <v>1172</v>
      </c>
      <c r="F220" s="2" t="s">
        <v>1173</v>
      </c>
      <c r="G220" s="2" t="s">
        <v>1174</v>
      </c>
      <c r="H220" s="2">
        <v>86585529675.5</v>
      </c>
      <c r="I220" s="2">
        <v>1725</v>
      </c>
      <c r="J220" s="2">
        <v>18.850080299999998</v>
      </c>
      <c r="K220" s="2">
        <v>673361</v>
      </c>
      <c r="L220" s="2">
        <v>7454968648260</v>
      </c>
      <c r="M220" s="2">
        <v>361250</v>
      </c>
      <c r="N220" s="2" t="s">
        <v>1175</v>
      </c>
      <c r="O220" s="2">
        <v>2.266E-5</v>
      </c>
      <c r="P220" s="2">
        <v>144790677</v>
      </c>
      <c r="Q220" s="2">
        <v>138</v>
      </c>
    </row>
    <row r="221" spans="1:17" x14ac:dyDescent="0.25">
      <c r="A221" s="1">
        <v>43389</v>
      </c>
      <c r="B221" s="2" t="s">
        <v>1176</v>
      </c>
      <c r="C221" s="2" t="s">
        <v>1177</v>
      </c>
      <c r="D221" s="2">
        <v>257832</v>
      </c>
      <c r="E221" s="2" t="s">
        <v>1178</v>
      </c>
      <c r="F221" s="2" t="s">
        <v>1179</v>
      </c>
      <c r="G221" s="2" t="s">
        <v>1180</v>
      </c>
      <c r="H221" s="2">
        <v>86616296316.300003</v>
      </c>
      <c r="I221" s="2">
        <v>1687.5</v>
      </c>
      <c r="J221" s="2">
        <v>19.319426750000002</v>
      </c>
      <c r="K221" s="2">
        <v>678723</v>
      </c>
      <c r="L221" s="2">
        <v>7454968648260</v>
      </c>
      <c r="M221" s="2">
        <v>364796</v>
      </c>
      <c r="N221" s="2" t="s">
        <v>1181</v>
      </c>
      <c r="O221" s="2">
        <v>2.2900000000000001E-5</v>
      </c>
      <c r="P221" s="2">
        <v>143946965</v>
      </c>
      <c r="Q221" s="2">
        <v>135</v>
      </c>
    </row>
    <row r="222" spans="1:17" x14ac:dyDescent="0.25">
      <c r="A222" s="1">
        <v>43388</v>
      </c>
      <c r="B222" s="2" t="s">
        <v>1182</v>
      </c>
      <c r="C222" s="2" t="s">
        <v>1183</v>
      </c>
      <c r="D222" s="2">
        <v>266783</v>
      </c>
      <c r="E222" s="2" t="s">
        <v>1184</v>
      </c>
      <c r="F222" s="2" t="s">
        <v>1185</v>
      </c>
      <c r="G222" s="2" t="s">
        <v>1186</v>
      </c>
      <c r="H222" s="2">
        <v>86660713434.199997</v>
      </c>
      <c r="I222" s="2">
        <v>2025</v>
      </c>
      <c r="J222" s="2">
        <v>23.09602031</v>
      </c>
      <c r="K222" s="2">
        <v>699171</v>
      </c>
      <c r="L222" s="2">
        <v>7454968648260</v>
      </c>
      <c r="M222" s="2">
        <v>387215</v>
      </c>
      <c r="N222" s="2" t="s">
        <v>1187</v>
      </c>
      <c r="O222" s="2">
        <v>2.1489999999999999E-5</v>
      </c>
      <c r="P222" s="2">
        <v>152889275</v>
      </c>
      <c r="Q222" s="2">
        <v>162</v>
      </c>
    </row>
    <row r="223" spans="1:17" x14ac:dyDescent="0.25">
      <c r="A223" s="1">
        <v>43387</v>
      </c>
      <c r="B223" s="2" t="s">
        <v>1188</v>
      </c>
      <c r="C223" s="2" t="s">
        <v>1189</v>
      </c>
      <c r="D223" s="2">
        <v>191145</v>
      </c>
      <c r="E223" s="2" t="s">
        <v>1190</v>
      </c>
      <c r="F223" s="2" t="s">
        <v>1191</v>
      </c>
      <c r="G223" s="2" t="s">
        <v>1192</v>
      </c>
      <c r="H223" s="2">
        <v>86646553563</v>
      </c>
      <c r="I223" s="2">
        <v>1425</v>
      </c>
      <c r="J223" s="2">
        <v>12.417849970000001</v>
      </c>
      <c r="K223" s="2">
        <v>524084</v>
      </c>
      <c r="L223" s="2">
        <v>7454968648260</v>
      </c>
      <c r="M223" s="2">
        <v>281611</v>
      </c>
      <c r="N223" s="2" t="s">
        <v>1193</v>
      </c>
      <c r="O223" s="2">
        <v>1.7099999999999999E-5</v>
      </c>
      <c r="P223" s="2">
        <v>109132438</v>
      </c>
      <c r="Q223" s="2">
        <v>114</v>
      </c>
    </row>
    <row r="224" spans="1:17" x14ac:dyDescent="0.25">
      <c r="A224" s="1">
        <v>43386</v>
      </c>
      <c r="B224" s="2" t="s">
        <v>1194</v>
      </c>
      <c r="C224" s="2" t="s">
        <v>1195</v>
      </c>
      <c r="D224" s="2">
        <v>204956</v>
      </c>
      <c r="E224" s="2" t="s">
        <v>1196</v>
      </c>
      <c r="F224" s="2" t="s">
        <v>1197</v>
      </c>
      <c r="G224" s="2" t="s">
        <v>1198</v>
      </c>
      <c r="H224" s="2">
        <v>86673182869.800003</v>
      </c>
      <c r="I224" s="2">
        <v>1762.5</v>
      </c>
      <c r="J224" s="2">
        <v>13.28476496</v>
      </c>
      <c r="K224" s="2">
        <v>573912</v>
      </c>
      <c r="L224" s="2">
        <v>7454968648260</v>
      </c>
      <c r="M224" s="2">
        <v>300453</v>
      </c>
      <c r="N224" s="2" t="s">
        <v>1199</v>
      </c>
      <c r="O224" s="2">
        <v>1.5359999999999999E-5</v>
      </c>
      <c r="P224" s="2">
        <v>121545129</v>
      </c>
      <c r="Q224" s="2">
        <v>141</v>
      </c>
    </row>
    <row r="225" spans="1:17" x14ac:dyDescent="0.25">
      <c r="A225" s="1">
        <v>43385</v>
      </c>
      <c r="B225" s="2" t="s">
        <v>1200</v>
      </c>
      <c r="C225" s="2" t="s">
        <v>1201</v>
      </c>
      <c r="D225" s="2">
        <v>243042</v>
      </c>
      <c r="E225" s="2" t="s">
        <v>1202</v>
      </c>
      <c r="F225" s="2" t="s">
        <v>1203</v>
      </c>
      <c r="G225" s="2" t="s">
        <v>1204</v>
      </c>
      <c r="H225" s="2">
        <v>86690498873.899994</v>
      </c>
      <c r="I225" s="2">
        <v>1650</v>
      </c>
      <c r="J225" s="2">
        <v>18.44585713</v>
      </c>
      <c r="K225" s="2">
        <v>693363</v>
      </c>
      <c r="L225" s="2">
        <v>7454968648260</v>
      </c>
      <c r="M225" s="2">
        <v>382936</v>
      </c>
      <c r="N225" s="2" t="s">
        <v>1205</v>
      </c>
      <c r="O225" s="2">
        <v>1.9579999999999999E-5</v>
      </c>
      <c r="P225" s="2">
        <v>148962399</v>
      </c>
      <c r="Q225" s="2">
        <v>132</v>
      </c>
    </row>
    <row r="226" spans="1:17" x14ac:dyDescent="0.25">
      <c r="A226" s="1">
        <v>43384</v>
      </c>
      <c r="B226" s="2" t="s">
        <v>1206</v>
      </c>
      <c r="C226" s="2" t="s">
        <v>1207</v>
      </c>
      <c r="D226" s="2">
        <v>262308</v>
      </c>
      <c r="E226" s="2" t="s">
        <v>1208</v>
      </c>
      <c r="F226" s="2" t="s">
        <v>1209</v>
      </c>
      <c r="G226" s="2" t="s">
        <v>1210</v>
      </c>
      <c r="H226" s="2">
        <v>86718093913.199997</v>
      </c>
      <c r="I226" s="2">
        <v>1987.5</v>
      </c>
      <c r="J226" s="2">
        <v>18.417205599999999</v>
      </c>
      <c r="K226" s="2">
        <v>686810</v>
      </c>
      <c r="L226" s="2">
        <v>7454968648260</v>
      </c>
      <c r="M226" s="2">
        <v>374053</v>
      </c>
      <c r="N226" s="2" t="s">
        <v>1211</v>
      </c>
      <c r="O226" s="2">
        <v>1.5279999999999999E-5</v>
      </c>
      <c r="P226" s="2">
        <v>146411276</v>
      </c>
      <c r="Q226" s="2">
        <v>159</v>
      </c>
    </row>
    <row r="227" spans="1:17" x14ac:dyDescent="0.25">
      <c r="A227" s="1">
        <v>43383</v>
      </c>
      <c r="B227" s="2" t="s">
        <v>1212</v>
      </c>
      <c r="C227" s="2" t="s">
        <v>1213</v>
      </c>
      <c r="D227" s="2">
        <v>244801</v>
      </c>
      <c r="E227" s="2" t="s">
        <v>1214</v>
      </c>
      <c r="F227" s="2" t="s">
        <v>1215</v>
      </c>
      <c r="G227" s="2" t="s">
        <v>1216</v>
      </c>
      <c r="H227" s="2">
        <v>87118329763.100006</v>
      </c>
      <c r="I227" s="2">
        <v>1800</v>
      </c>
      <c r="J227" s="2">
        <v>15.633937299999999</v>
      </c>
      <c r="K227" s="2">
        <v>642600</v>
      </c>
      <c r="L227" s="2">
        <v>7454968648260</v>
      </c>
      <c r="M227" s="2">
        <v>364305</v>
      </c>
      <c r="N227" s="2" t="s">
        <v>1217</v>
      </c>
      <c r="O227" s="2">
        <v>1.753E-5</v>
      </c>
      <c r="P227" s="2">
        <v>129154395</v>
      </c>
      <c r="Q227" s="2">
        <v>144</v>
      </c>
    </row>
    <row r="228" spans="1:17" x14ac:dyDescent="0.25">
      <c r="A228" s="1">
        <v>43382</v>
      </c>
      <c r="B228" s="2" t="s">
        <v>1218</v>
      </c>
      <c r="C228" s="2" t="s">
        <v>1219</v>
      </c>
      <c r="D228" s="2">
        <v>235732</v>
      </c>
      <c r="E228" s="2" t="s">
        <v>1220</v>
      </c>
      <c r="F228" s="2" t="s">
        <v>1221</v>
      </c>
      <c r="G228" s="2" t="s">
        <v>1222</v>
      </c>
      <c r="H228" s="2">
        <v>87118867806.800003</v>
      </c>
      <c r="I228" s="2">
        <v>1625</v>
      </c>
      <c r="J228" s="2">
        <v>16.666319340000001</v>
      </c>
      <c r="K228" s="2">
        <v>621386</v>
      </c>
      <c r="L228" s="2">
        <v>7454968648260</v>
      </c>
      <c r="M228" s="2">
        <v>347881</v>
      </c>
      <c r="N228" s="2" t="s">
        <v>1223</v>
      </c>
      <c r="O228" s="2">
        <v>2.0720000000000002E-5</v>
      </c>
      <c r="P228" s="2">
        <v>125633758</v>
      </c>
      <c r="Q228" s="2">
        <v>130</v>
      </c>
    </row>
    <row r="229" spans="1:17" x14ac:dyDescent="0.25">
      <c r="A229" s="1">
        <v>43381</v>
      </c>
      <c r="B229" s="2" t="s">
        <v>1224</v>
      </c>
      <c r="C229" s="2" t="s">
        <v>1225</v>
      </c>
      <c r="D229" s="2">
        <v>247906</v>
      </c>
      <c r="E229" s="2" t="s">
        <v>1226</v>
      </c>
      <c r="F229" s="2" t="s">
        <v>1227</v>
      </c>
      <c r="G229" s="2" t="s">
        <v>1228</v>
      </c>
      <c r="H229" s="2">
        <v>87123032719.199997</v>
      </c>
      <c r="I229" s="2">
        <v>1687.5</v>
      </c>
      <c r="J229" s="2">
        <v>16.795998489999999</v>
      </c>
      <c r="K229" s="2">
        <v>646076</v>
      </c>
      <c r="L229" s="2">
        <v>7454968648260</v>
      </c>
      <c r="M229" s="2">
        <v>350251</v>
      </c>
      <c r="N229" s="2" t="s">
        <v>1229</v>
      </c>
      <c r="O229" s="2">
        <v>1.9400000000000001E-5</v>
      </c>
      <c r="P229" s="2">
        <v>130298970</v>
      </c>
      <c r="Q229" s="2">
        <v>135</v>
      </c>
    </row>
    <row r="230" spans="1:17" x14ac:dyDescent="0.25">
      <c r="A230" s="1">
        <v>43380</v>
      </c>
      <c r="B230" s="2" t="s">
        <v>1230</v>
      </c>
      <c r="C230" s="2" t="s">
        <v>1231</v>
      </c>
      <c r="D230" s="2">
        <v>219589</v>
      </c>
      <c r="E230" s="2" t="s">
        <v>1232</v>
      </c>
      <c r="F230" s="2" t="s">
        <v>1233</v>
      </c>
      <c r="G230" s="2" t="s">
        <v>1234</v>
      </c>
      <c r="H230" s="2">
        <v>87107436163.5</v>
      </c>
      <c r="I230" s="2">
        <v>1774.9999992999999</v>
      </c>
      <c r="J230" s="2">
        <v>13.06671747</v>
      </c>
      <c r="K230" s="2">
        <v>598361</v>
      </c>
      <c r="L230" s="2">
        <v>7454968648260</v>
      </c>
      <c r="M230" s="2">
        <v>313022</v>
      </c>
      <c r="N230" s="2" t="s">
        <v>1235</v>
      </c>
      <c r="O230" s="2">
        <v>1.6900000000000001E-5</v>
      </c>
      <c r="P230" s="2">
        <v>118128874</v>
      </c>
      <c r="Q230" s="2">
        <v>142</v>
      </c>
    </row>
    <row r="231" spans="1:17" x14ac:dyDescent="0.25">
      <c r="A231" s="1">
        <v>43379</v>
      </c>
      <c r="B231" s="2" t="s">
        <v>1236</v>
      </c>
      <c r="C231" s="2" t="s">
        <v>1237</v>
      </c>
      <c r="D231" s="2">
        <v>214718</v>
      </c>
      <c r="E231" s="2" t="s">
        <v>1238</v>
      </c>
      <c r="F231" s="2" t="s">
        <v>1239</v>
      </c>
      <c r="G231" s="2" t="s">
        <v>1240</v>
      </c>
      <c r="H231" s="2">
        <v>87102036851.100006</v>
      </c>
      <c r="I231" s="2">
        <v>1562.5</v>
      </c>
      <c r="J231" s="2">
        <v>17.57876392</v>
      </c>
      <c r="K231" s="2">
        <v>588478</v>
      </c>
      <c r="L231" s="2">
        <v>7454968648260</v>
      </c>
      <c r="M231" s="2">
        <v>336658</v>
      </c>
      <c r="N231" s="2" t="s">
        <v>1241</v>
      </c>
      <c r="O231" s="2">
        <v>2.775E-5</v>
      </c>
      <c r="P231" s="2">
        <v>115262735</v>
      </c>
      <c r="Q231" s="2">
        <v>125</v>
      </c>
    </row>
    <row r="232" spans="1:17" x14ac:dyDescent="0.25">
      <c r="A232" s="1">
        <v>43378</v>
      </c>
      <c r="B232" s="2" t="s">
        <v>1242</v>
      </c>
      <c r="C232" s="2" t="s">
        <v>1243</v>
      </c>
      <c r="D232" s="2">
        <v>244589</v>
      </c>
      <c r="E232" s="2" t="s">
        <v>1244</v>
      </c>
      <c r="F232" s="2" t="s">
        <v>1245</v>
      </c>
      <c r="G232" s="2" t="s">
        <v>1246</v>
      </c>
      <c r="H232" s="2">
        <v>87109088526.800003</v>
      </c>
      <c r="I232" s="2">
        <v>1625</v>
      </c>
      <c r="J232" s="2">
        <v>21.33672301</v>
      </c>
      <c r="K232" s="2">
        <v>688115</v>
      </c>
      <c r="L232" s="2">
        <v>7454968648260</v>
      </c>
      <c r="M232" s="2">
        <v>409154</v>
      </c>
      <c r="N232" s="2" t="s">
        <v>1247</v>
      </c>
      <c r="O232" s="2">
        <v>3.1640000000000002E-5</v>
      </c>
      <c r="P232" s="2">
        <v>125204415</v>
      </c>
      <c r="Q232" s="2">
        <v>130</v>
      </c>
    </row>
    <row r="233" spans="1:17" x14ac:dyDescent="0.25">
      <c r="A233" s="1">
        <v>43377</v>
      </c>
      <c r="B233" s="2" t="s">
        <v>1248</v>
      </c>
      <c r="C233" s="2" t="s">
        <v>1249</v>
      </c>
      <c r="D233" s="2">
        <v>243007</v>
      </c>
      <c r="E233" s="2" t="s">
        <v>1250</v>
      </c>
      <c r="F233" s="2" t="s">
        <v>1251</v>
      </c>
      <c r="G233" s="2" t="s">
        <v>1252</v>
      </c>
      <c r="H233" s="2">
        <v>87100693285.699997</v>
      </c>
      <c r="I233" s="2">
        <v>1875</v>
      </c>
      <c r="J233" s="2">
        <v>18.709163790000002</v>
      </c>
      <c r="K233" s="2">
        <v>642395</v>
      </c>
      <c r="L233" s="2">
        <v>7364268059360</v>
      </c>
      <c r="M233" s="2">
        <v>381204</v>
      </c>
      <c r="N233" s="2" t="s">
        <v>1253</v>
      </c>
      <c r="O233" s="2">
        <v>2.0979999999999999E-5</v>
      </c>
      <c r="P233" s="2">
        <v>119796008</v>
      </c>
      <c r="Q233" s="2">
        <v>150</v>
      </c>
    </row>
    <row r="234" spans="1:17" x14ac:dyDescent="0.25">
      <c r="A234" s="1">
        <v>43376</v>
      </c>
      <c r="B234" s="2" t="s">
        <v>1254</v>
      </c>
      <c r="C234" s="2" t="s">
        <v>1255</v>
      </c>
      <c r="D234" s="2">
        <v>242158</v>
      </c>
      <c r="E234" s="2" t="s">
        <v>1256</v>
      </c>
      <c r="F234" s="2" t="s">
        <v>1257</v>
      </c>
      <c r="G234" s="2" t="s">
        <v>1258</v>
      </c>
      <c r="H234" s="2">
        <v>87104081005.5</v>
      </c>
      <c r="I234" s="2">
        <v>1812.5</v>
      </c>
      <c r="J234" s="2">
        <v>21.364485009999999</v>
      </c>
      <c r="K234" s="2">
        <v>694010</v>
      </c>
      <c r="L234" s="2">
        <v>7152633351910</v>
      </c>
      <c r="M234" s="2">
        <v>427200</v>
      </c>
      <c r="N234" s="2" t="s">
        <v>1259</v>
      </c>
      <c r="O234" s="2">
        <v>3.2020000000000002E-5</v>
      </c>
      <c r="P234" s="2">
        <v>121542722</v>
      </c>
      <c r="Q234" s="2">
        <v>145</v>
      </c>
    </row>
    <row r="235" spans="1:17" x14ac:dyDescent="0.25">
      <c r="A235" s="1">
        <v>43375</v>
      </c>
      <c r="B235" s="2" t="s">
        <v>1260</v>
      </c>
      <c r="C235" s="2" t="s">
        <v>1261</v>
      </c>
      <c r="D235" s="2">
        <v>244635</v>
      </c>
      <c r="E235" s="2" t="s">
        <v>1262</v>
      </c>
      <c r="F235" s="2" t="s">
        <v>1263</v>
      </c>
      <c r="G235" s="2" t="s">
        <v>1264</v>
      </c>
      <c r="H235" s="2">
        <v>87139964738.300003</v>
      </c>
      <c r="I235" s="2">
        <v>1712.5</v>
      </c>
      <c r="J235" s="2">
        <v>25.72269107</v>
      </c>
      <c r="K235" s="2">
        <v>678543</v>
      </c>
      <c r="L235" s="2">
        <v>7152633351910</v>
      </c>
      <c r="M235" s="2">
        <v>359131</v>
      </c>
      <c r="N235" s="2" t="s">
        <v>1265</v>
      </c>
      <c r="O235" s="2">
        <v>3.591E-5</v>
      </c>
      <c r="P235" s="2">
        <v>139101005</v>
      </c>
      <c r="Q235" s="2">
        <v>137</v>
      </c>
    </row>
    <row r="236" spans="1:17" x14ac:dyDescent="0.25">
      <c r="A236" s="1">
        <v>43374</v>
      </c>
      <c r="B236" s="2" t="s">
        <v>1266</v>
      </c>
      <c r="C236" s="2" t="s">
        <v>1267</v>
      </c>
      <c r="D236" s="2">
        <v>242662</v>
      </c>
      <c r="E236" s="2" t="s">
        <v>1268</v>
      </c>
      <c r="F236" s="2" t="s">
        <v>1269</v>
      </c>
      <c r="G236" s="2" t="s">
        <v>1270</v>
      </c>
      <c r="H236" s="2">
        <v>87176103783.300003</v>
      </c>
      <c r="I236" s="2">
        <v>1975</v>
      </c>
      <c r="J236" s="2">
        <v>21.823346910000001</v>
      </c>
      <c r="K236" s="2">
        <v>672475</v>
      </c>
      <c r="L236" s="2">
        <v>7152633351910</v>
      </c>
      <c r="M236" s="2">
        <v>360525</v>
      </c>
      <c r="N236" s="2" t="s">
        <v>1271</v>
      </c>
      <c r="O236" s="2">
        <v>2.0230000000000001E-5</v>
      </c>
      <c r="P236" s="2">
        <v>135422735</v>
      </c>
      <c r="Q236" s="2">
        <v>158</v>
      </c>
    </row>
    <row r="237" spans="1:17" x14ac:dyDescent="0.25">
      <c r="A237" s="1">
        <v>43373</v>
      </c>
      <c r="B237" s="2" t="s">
        <v>1272</v>
      </c>
      <c r="C237" s="2" t="s">
        <v>1273</v>
      </c>
      <c r="D237" s="2">
        <v>208047</v>
      </c>
      <c r="E237" s="2" t="s">
        <v>1274</v>
      </c>
      <c r="F237" s="2" t="s">
        <v>1275</v>
      </c>
      <c r="G237" s="2" t="s">
        <v>1276</v>
      </c>
      <c r="H237" s="2">
        <v>87224309926.699997</v>
      </c>
      <c r="I237" s="2">
        <v>2037.5</v>
      </c>
      <c r="J237" s="2">
        <v>15.427947059999999</v>
      </c>
      <c r="K237" s="2">
        <v>532067</v>
      </c>
      <c r="L237" s="2">
        <v>7152633351910</v>
      </c>
      <c r="M237" s="2">
        <v>308326</v>
      </c>
      <c r="N237" s="2" t="s">
        <v>1277</v>
      </c>
      <c r="O237" s="2">
        <v>1.484E-5</v>
      </c>
      <c r="P237" s="2">
        <v>102153943</v>
      </c>
      <c r="Q237" s="2">
        <v>163</v>
      </c>
    </row>
    <row r="238" spans="1:17" x14ac:dyDescent="0.25">
      <c r="A238" s="1">
        <v>43372</v>
      </c>
      <c r="B238" s="2" t="s">
        <v>1278</v>
      </c>
      <c r="C238" s="2" t="s">
        <v>1279</v>
      </c>
      <c r="D238" s="2">
        <v>218187</v>
      </c>
      <c r="E238" s="2" t="s">
        <v>1280</v>
      </c>
      <c r="F238" s="2" t="s">
        <v>1281</v>
      </c>
      <c r="G238" s="2" t="s">
        <v>1282</v>
      </c>
      <c r="H238" s="2">
        <v>87223105396.100006</v>
      </c>
      <c r="I238" s="2">
        <v>1900</v>
      </c>
      <c r="J238" s="2">
        <v>19.106858590000002</v>
      </c>
      <c r="K238" s="2">
        <v>552202</v>
      </c>
      <c r="L238" s="2">
        <v>7152633351910</v>
      </c>
      <c r="M238" s="2">
        <v>321741</v>
      </c>
      <c r="N238" s="2" t="s">
        <v>1283</v>
      </c>
      <c r="O238" s="2">
        <v>1.995E-5</v>
      </c>
      <c r="P238" s="2">
        <v>105394308</v>
      </c>
      <c r="Q238" s="2">
        <v>152</v>
      </c>
    </row>
    <row r="239" spans="1:17" x14ac:dyDescent="0.25">
      <c r="A239" s="1">
        <v>43371</v>
      </c>
      <c r="B239" s="2" t="s">
        <v>1284</v>
      </c>
      <c r="C239" s="2" t="s">
        <v>1285</v>
      </c>
      <c r="D239" s="2">
        <v>254085</v>
      </c>
      <c r="E239" s="2" t="s">
        <v>1286</v>
      </c>
      <c r="F239" s="2" t="s">
        <v>1287</v>
      </c>
      <c r="G239" s="2" t="s">
        <v>1288</v>
      </c>
      <c r="H239" s="2">
        <v>87239183128.300003</v>
      </c>
      <c r="I239" s="2">
        <v>1925</v>
      </c>
      <c r="J239" s="2">
        <v>28.918254869999998</v>
      </c>
      <c r="K239" s="2">
        <v>673177</v>
      </c>
      <c r="L239" s="2">
        <v>7152633351910</v>
      </c>
      <c r="M239" s="2">
        <v>400405</v>
      </c>
      <c r="N239" s="2" t="s">
        <v>1289</v>
      </c>
      <c r="O239" s="2">
        <v>4.0080000000000003E-5</v>
      </c>
      <c r="P239" s="2">
        <v>131695975</v>
      </c>
      <c r="Q239" s="2">
        <v>154</v>
      </c>
    </row>
    <row r="240" spans="1:17" x14ac:dyDescent="0.25">
      <c r="A240" s="1">
        <v>43370</v>
      </c>
      <c r="B240" s="2" t="s">
        <v>1290</v>
      </c>
      <c r="C240" s="2" t="s">
        <v>1291</v>
      </c>
      <c r="D240" s="2">
        <v>248543</v>
      </c>
      <c r="E240" s="2" t="s">
        <v>1292</v>
      </c>
      <c r="F240" s="2" t="s">
        <v>1293</v>
      </c>
      <c r="G240" s="2" t="s">
        <v>1294</v>
      </c>
      <c r="H240" s="2">
        <v>87225096602.800003</v>
      </c>
      <c r="I240" s="2">
        <v>1787.5</v>
      </c>
      <c r="J240" s="2">
        <v>23.65350638</v>
      </c>
      <c r="K240" s="2">
        <v>633994</v>
      </c>
      <c r="L240" s="2">
        <v>7152633351910</v>
      </c>
      <c r="M240" s="2">
        <v>355229</v>
      </c>
      <c r="N240" s="2" t="s">
        <v>1295</v>
      </c>
      <c r="O240" s="2">
        <v>3.042E-5</v>
      </c>
      <c r="P240" s="2">
        <v>125415466</v>
      </c>
      <c r="Q240" s="2">
        <v>143</v>
      </c>
    </row>
    <row r="241" spans="1:17" x14ac:dyDescent="0.25">
      <c r="A241" s="1">
        <v>43369</v>
      </c>
      <c r="B241" s="2" t="s">
        <v>1296</v>
      </c>
      <c r="C241" s="2" t="s">
        <v>1297</v>
      </c>
      <c r="D241" s="2">
        <v>243788</v>
      </c>
      <c r="E241" s="2" t="s">
        <v>1298</v>
      </c>
      <c r="F241" s="2" t="s">
        <v>1299</v>
      </c>
      <c r="G241" s="2" t="s">
        <v>1300</v>
      </c>
      <c r="H241" s="2">
        <v>87192419066.199997</v>
      </c>
      <c r="I241" s="2">
        <v>1737.5</v>
      </c>
      <c r="J241" s="2">
        <v>20.133866399999999</v>
      </c>
      <c r="K241" s="2">
        <v>628119</v>
      </c>
      <c r="L241" s="2">
        <v>7152633351910</v>
      </c>
      <c r="M241" s="2">
        <v>350095</v>
      </c>
      <c r="N241" s="2" t="s">
        <v>1301</v>
      </c>
      <c r="O241" s="2">
        <v>2.0290000000000001E-5</v>
      </c>
      <c r="P241" s="2">
        <v>124822744</v>
      </c>
      <c r="Q241" s="2">
        <v>139</v>
      </c>
    </row>
    <row r="242" spans="1:17" x14ac:dyDescent="0.25">
      <c r="A242" s="1">
        <v>43368</v>
      </c>
      <c r="B242" s="2" t="s">
        <v>1302</v>
      </c>
      <c r="C242" s="2" t="s">
        <v>1303</v>
      </c>
      <c r="D242" s="2">
        <v>251944</v>
      </c>
      <c r="E242" s="2" t="s">
        <v>1304</v>
      </c>
      <c r="F242" s="2" t="s">
        <v>1305</v>
      </c>
      <c r="G242" s="2" t="s">
        <v>1306</v>
      </c>
      <c r="H242" s="2">
        <v>87198569117.199997</v>
      </c>
      <c r="I242" s="2">
        <v>2112.5</v>
      </c>
      <c r="J242" s="2">
        <v>20.317371269999999</v>
      </c>
      <c r="K242" s="2">
        <v>648244</v>
      </c>
      <c r="L242" s="2">
        <v>7152633351910</v>
      </c>
      <c r="M242" s="2">
        <v>364132</v>
      </c>
      <c r="N242" s="2" t="s">
        <v>1307</v>
      </c>
      <c r="O242" s="2">
        <v>1.6480000000000001E-5</v>
      </c>
      <c r="P242" s="2">
        <v>129832692</v>
      </c>
      <c r="Q242" s="2">
        <v>169</v>
      </c>
    </row>
    <row r="243" spans="1:17" x14ac:dyDescent="0.25">
      <c r="A243" s="1">
        <v>43367</v>
      </c>
      <c r="B243" s="2" t="s">
        <v>1308</v>
      </c>
      <c r="C243" s="2" t="s">
        <v>1309</v>
      </c>
      <c r="D243" s="2">
        <v>237522</v>
      </c>
      <c r="E243" s="2" t="s">
        <v>1310</v>
      </c>
      <c r="F243" s="2" t="s">
        <v>1311</v>
      </c>
      <c r="G243" s="2" t="s">
        <v>1312</v>
      </c>
      <c r="H243" s="2">
        <v>87299600059.199997</v>
      </c>
      <c r="I243" s="2">
        <v>1850</v>
      </c>
      <c r="J243" s="2">
        <v>15.50844294</v>
      </c>
      <c r="K243" s="2">
        <v>614679</v>
      </c>
      <c r="L243" s="2">
        <v>7152633351910</v>
      </c>
      <c r="M243" s="2">
        <v>343175</v>
      </c>
      <c r="N243" s="2" t="s">
        <v>1313</v>
      </c>
      <c r="O243" s="2">
        <v>1.008E-5</v>
      </c>
      <c r="P243" s="2">
        <v>119452875</v>
      </c>
      <c r="Q243" s="2">
        <v>148</v>
      </c>
    </row>
    <row r="244" spans="1:17" x14ac:dyDescent="0.25">
      <c r="A244" s="1">
        <v>43366</v>
      </c>
      <c r="B244" s="2" t="s">
        <v>1314</v>
      </c>
      <c r="C244" s="2" t="s">
        <v>1315</v>
      </c>
      <c r="D244" s="2">
        <v>200169</v>
      </c>
      <c r="E244" s="2" t="s">
        <v>1316</v>
      </c>
      <c r="F244" s="2" t="s">
        <v>1317</v>
      </c>
      <c r="G244" s="2" t="s">
        <v>1318</v>
      </c>
      <c r="H244" s="2">
        <v>87312130835.699997</v>
      </c>
      <c r="I244" s="2">
        <v>1875</v>
      </c>
      <c r="J244" s="2">
        <v>14.47737832</v>
      </c>
      <c r="K244" s="2">
        <v>507621</v>
      </c>
      <c r="L244" s="2">
        <v>7152633351910</v>
      </c>
      <c r="M244" s="2">
        <v>298092</v>
      </c>
      <c r="N244" s="2" t="s">
        <v>1319</v>
      </c>
      <c r="O244" s="2">
        <v>1.1219999999999999E-5</v>
      </c>
      <c r="P244" s="2">
        <v>98345016</v>
      </c>
      <c r="Q244" s="2">
        <v>150</v>
      </c>
    </row>
    <row r="245" spans="1:17" x14ac:dyDescent="0.25">
      <c r="A245" s="1">
        <v>43365</v>
      </c>
      <c r="B245" s="2" t="s">
        <v>1320</v>
      </c>
      <c r="C245" s="2" t="s">
        <v>1321</v>
      </c>
      <c r="D245" s="2">
        <v>225382</v>
      </c>
      <c r="E245" s="2" t="s">
        <v>1322</v>
      </c>
      <c r="F245" s="2" t="s">
        <v>1323</v>
      </c>
      <c r="G245" s="2" t="s">
        <v>1324</v>
      </c>
      <c r="H245" s="2">
        <v>87300403096.199997</v>
      </c>
      <c r="I245" s="2">
        <v>1937.49999923</v>
      </c>
      <c r="J245" s="2">
        <v>18.655971449999999</v>
      </c>
      <c r="K245" s="2">
        <v>562522</v>
      </c>
      <c r="L245" s="2">
        <v>7152633351910</v>
      </c>
      <c r="M245" s="2">
        <v>333446</v>
      </c>
      <c r="N245" s="2" t="s">
        <v>1325</v>
      </c>
      <c r="O245" s="2">
        <v>1.3720000000000001E-5</v>
      </c>
      <c r="P245" s="2">
        <v>113466030</v>
      </c>
      <c r="Q245" s="2">
        <v>155</v>
      </c>
    </row>
    <row r="246" spans="1:17" x14ac:dyDescent="0.25">
      <c r="A246" s="1">
        <v>43364</v>
      </c>
      <c r="B246" s="2" t="s">
        <v>1326</v>
      </c>
      <c r="C246" s="2" t="s">
        <v>1327</v>
      </c>
      <c r="D246" s="2">
        <v>272907</v>
      </c>
      <c r="E246" s="2" t="s">
        <v>1328</v>
      </c>
      <c r="F246" s="2" t="s">
        <v>1329</v>
      </c>
      <c r="G246" s="2" t="s">
        <v>1330</v>
      </c>
      <c r="H246" s="2">
        <v>87302071154.800003</v>
      </c>
      <c r="I246" s="2">
        <v>1799.99999927</v>
      </c>
      <c r="J246" s="2">
        <v>25.612594619999999</v>
      </c>
      <c r="K246" s="2">
        <v>715507</v>
      </c>
      <c r="L246" s="2">
        <v>7152633351910</v>
      </c>
      <c r="M246" s="2">
        <v>436008</v>
      </c>
      <c r="N246" s="2" t="s">
        <v>1331</v>
      </c>
      <c r="O246" s="2">
        <v>1.967E-5</v>
      </c>
      <c r="P246" s="2">
        <v>145771449</v>
      </c>
      <c r="Q246" s="2">
        <v>144</v>
      </c>
    </row>
    <row r="247" spans="1:17" x14ac:dyDescent="0.25">
      <c r="A247" s="1">
        <v>43363</v>
      </c>
      <c r="B247" s="2" t="s">
        <v>1332</v>
      </c>
      <c r="C247" s="2" t="s">
        <v>1333</v>
      </c>
      <c r="D247" s="2">
        <v>253520</v>
      </c>
      <c r="E247" s="2" t="s">
        <v>1334</v>
      </c>
      <c r="F247" s="2" t="s">
        <v>1335</v>
      </c>
      <c r="G247" s="2" t="s">
        <v>1336</v>
      </c>
      <c r="H247" s="2">
        <v>87392557934.600006</v>
      </c>
      <c r="I247" s="2">
        <v>1925</v>
      </c>
      <c r="J247" s="2">
        <v>18.261929819999999</v>
      </c>
      <c r="K247" s="2">
        <v>628587</v>
      </c>
      <c r="L247" s="2">
        <v>7031329605790</v>
      </c>
      <c r="M247" s="2">
        <v>364640</v>
      </c>
      <c r="N247" s="2" t="s">
        <v>1337</v>
      </c>
      <c r="O247" s="2">
        <v>1.3560000000000001E-5</v>
      </c>
      <c r="P247" s="2">
        <v>125519412</v>
      </c>
      <c r="Q247" s="2">
        <v>154</v>
      </c>
    </row>
    <row r="248" spans="1:17" x14ac:dyDescent="0.25">
      <c r="A248" s="1">
        <v>43362</v>
      </c>
      <c r="B248" s="2" t="s">
        <v>1338</v>
      </c>
      <c r="C248" s="2" t="s">
        <v>1339</v>
      </c>
      <c r="D248" s="2">
        <v>250881</v>
      </c>
      <c r="E248" s="2" t="s">
        <v>1340</v>
      </c>
      <c r="F248" s="2" t="s">
        <v>1341</v>
      </c>
      <c r="G248" s="2" t="s">
        <v>1342</v>
      </c>
      <c r="H248" s="2">
        <v>87406585332</v>
      </c>
      <c r="I248" s="2">
        <v>1950</v>
      </c>
      <c r="J248" s="2">
        <v>17.093355209999999</v>
      </c>
      <c r="K248" s="2">
        <v>631546</v>
      </c>
      <c r="L248" s="2">
        <v>7019199231180</v>
      </c>
      <c r="M248" s="2">
        <v>355575</v>
      </c>
      <c r="N248" s="2" t="s">
        <v>1343</v>
      </c>
      <c r="O248" s="2">
        <v>1.2E-5</v>
      </c>
      <c r="P248" s="2">
        <v>125492210</v>
      </c>
      <c r="Q248" s="2">
        <v>156</v>
      </c>
    </row>
    <row r="249" spans="1:17" x14ac:dyDescent="0.25">
      <c r="A249" s="1">
        <v>43361</v>
      </c>
      <c r="B249" s="2" t="s">
        <v>1344</v>
      </c>
      <c r="C249" s="2" t="s">
        <v>1345</v>
      </c>
      <c r="D249" s="2">
        <v>244117</v>
      </c>
      <c r="E249" s="2" t="s">
        <v>1346</v>
      </c>
      <c r="F249" s="2" t="s">
        <v>1347</v>
      </c>
      <c r="G249" s="2" t="s">
        <v>1348</v>
      </c>
      <c r="H249" s="2">
        <v>87414419144.300003</v>
      </c>
      <c r="I249" s="2">
        <v>1775</v>
      </c>
      <c r="J249" s="2">
        <v>19.013684720000001</v>
      </c>
      <c r="K249" s="2">
        <v>638235</v>
      </c>
      <c r="L249" s="2">
        <v>7019199231180</v>
      </c>
      <c r="M249" s="2">
        <v>356406</v>
      </c>
      <c r="N249" s="2" t="s">
        <v>1349</v>
      </c>
      <c r="O249" s="2">
        <v>1.6719999999999999E-5</v>
      </c>
      <c r="P249" s="2">
        <v>132956519</v>
      </c>
      <c r="Q249" s="2">
        <v>142</v>
      </c>
    </row>
    <row r="250" spans="1:17" x14ac:dyDescent="0.25">
      <c r="A250" s="1">
        <v>43360</v>
      </c>
      <c r="B250" s="2" t="s">
        <v>1350</v>
      </c>
      <c r="C250" s="2" t="s">
        <v>1351</v>
      </c>
      <c r="D250" s="2">
        <v>240017</v>
      </c>
      <c r="E250" s="2" t="s">
        <v>1352</v>
      </c>
      <c r="F250" s="2" t="s">
        <v>1353</v>
      </c>
      <c r="G250" s="2" t="s">
        <v>1354</v>
      </c>
      <c r="H250" s="2">
        <v>87426282770.800003</v>
      </c>
      <c r="I250" s="2">
        <v>1687.5</v>
      </c>
      <c r="J250" s="2">
        <v>17.457676710000001</v>
      </c>
      <c r="K250" s="2">
        <v>631067</v>
      </c>
      <c r="L250" s="2">
        <v>7019199231180</v>
      </c>
      <c r="M250" s="2">
        <v>362187</v>
      </c>
      <c r="N250" s="2" t="s">
        <v>1355</v>
      </c>
      <c r="O250" s="2">
        <v>1.22E-5</v>
      </c>
      <c r="P250" s="2">
        <v>122532457</v>
      </c>
      <c r="Q250" s="2">
        <v>135</v>
      </c>
    </row>
    <row r="251" spans="1:17" x14ac:dyDescent="0.25">
      <c r="A251" s="1">
        <v>43359</v>
      </c>
      <c r="B251" s="2" t="s">
        <v>1356</v>
      </c>
      <c r="C251" s="2" t="s">
        <v>1357</v>
      </c>
      <c r="D251" s="2">
        <v>179344</v>
      </c>
      <c r="E251" s="2" t="s">
        <v>1358</v>
      </c>
      <c r="F251" s="2" t="s">
        <v>1359</v>
      </c>
      <c r="G251" s="2" t="s">
        <v>1360</v>
      </c>
      <c r="H251" s="2">
        <v>87468289753.600006</v>
      </c>
      <c r="I251" s="2">
        <v>1737.4999992200001</v>
      </c>
      <c r="J251" s="2">
        <v>13.07015213</v>
      </c>
      <c r="K251" s="2">
        <v>470139</v>
      </c>
      <c r="L251" s="2">
        <v>7019199231180</v>
      </c>
      <c r="M251" s="2">
        <v>280923</v>
      </c>
      <c r="N251" s="2" t="s">
        <v>1361</v>
      </c>
      <c r="O251" s="2">
        <v>1.453E-5</v>
      </c>
      <c r="P251" s="2">
        <v>87198647</v>
      </c>
      <c r="Q251" s="2">
        <v>139</v>
      </c>
    </row>
    <row r="252" spans="1:17" x14ac:dyDescent="0.25">
      <c r="A252" s="1">
        <v>43358</v>
      </c>
      <c r="B252" s="2" t="s">
        <v>1362</v>
      </c>
      <c r="C252" s="2" t="s">
        <v>1363</v>
      </c>
      <c r="D252" s="2">
        <v>210931</v>
      </c>
      <c r="E252" s="2" t="s">
        <v>1364</v>
      </c>
      <c r="F252" s="2" t="s">
        <v>1365</v>
      </c>
      <c r="G252" s="2" t="s">
        <v>1366</v>
      </c>
      <c r="H252" s="2">
        <v>87466731355.5</v>
      </c>
      <c r="I252" s="2">
        <v>1750</v>
      </c>
      <c r="J252" s="2">
        <v>15.69995673</v>
      </c>
      <c r="K252" s="2">
        <v>558339</v>
      </c>
      <c r="L252" s="2">
        <v>7019199231180</v>
      </c>
      <c r="M252" s="2">
        <v>326120</v>
      </c>
      <c r="N252" s="2" t="s">
        <v>1367</v>
      </c>
      <c r="O252" s="2">
        <v>1.8729999999999999E-5</v>
      </c>
      <c r="P252" s="2">
        <v>110580268</v>
      </c>
      <c r="Q252" s="2">
        <v>140</v>
      </c>
    </row>
    <row r="253" spans="1:17" x14ac:dyDescent="0.25">
      <c r="A253" s="1">
        <v>43357</v>
      </c>
      <c r="B253" s="2" t="s">
        <v>1368</v>
      </c>
      <c r="C253" s="2" t="s">
        <v>1369</v>
      </c>
      <c r="D253" s="2">
        <v>223118</v>
      </c>
      <c r="E253" s="2" t="s">
        <v>1370</v>
      </c>
      <c r="F253" s="2" t="s">
        <v>1371</v>
      </c>
      <c r="G253" s="2" t="s">
        <v>1372</v>
      </c>
      <c r="H253" s="2">
        <v>87464389647.399994</v>
      </c>
      <c r="I253" s="2">
        <v>1650</v>
      </c>
      <c r="J253" s="2">
        <v>21.218931059999999</v>
      </c>
      <c r="K253" s="2">
        <v>620772</v>
      </c>
      <c r="L253" s="2">
        <v>7019199231180</v>
      </c>
      <c r="M253" s="2">
        <v>367077</v>
      </c>
      <c r="N253" s="2" t="s">
        <v>1373</v>
      </c>
      <c r="O253" s="2">
        <v>2.209E-5</v>
      </c>
      <c r="P253" s="2">
        <v>139588020</v>
      </c>
      <c r="Q253" s="2">
        <v>132</v>
      </c>
    </row>
    <row r="254" spans="1:17" x14ac:dyDescent="0.25">
      <c r="A254" s="1">
        <v>43356</v>
      </c>
      <c r="B254" s="2" t="s">
        <v>1374</v>
      </c>
      <c r="C254" s="2" t="s">
        <v>1375</v>
      </c>
      <c r="D254" s="2">
        <v>234061</v>
      </c>
      <c r="E254" s="2" t="s">
        <v>1376</v>
      </c>
      <c r="F254" s="2" t="s">
        <v>1377</v>
      </c>
      <c r="G254" s="2" t="s">
        <v>1378</v>
      </c>
      <c r="H254" s="2">
        <v>87463327975.5</v>
      </c>
      <c r="I254" s="2">
        <v>1849.9999992</v>
      </c>
      <c r="J254" s="2">
        <v>20.298037730000001</v>
      </c>
      <c r="K254" s="2">
        <v>608107</v>
      </c>
      <c r="L254" s="2">
        <v>7019199231180</v>
      </c>
      <c r="M254" s="2">
        <v>350225</v>
      </c>
      <c r="N254" s="2" t="s">
        <v>1379</v>
      </c>
      <c r="O254" s="2">
        <v>1.8700000000000001E-5</v>
      </c>
      <c r="P254" s="2">
        <v>121220725</v>
      </c>
      <c r="Q254" s="2">
        <v>148</v>
      </c>
    </row>
    <row r="255" spans="1:17" x14ac:dyDescent="0.25">
      <c r="A255" s="1">
        <v>43355</v>
      </c>
      <c r="B255" s="2" t="s">
        <v>1380</v>
      </c>
      <c r="C255" s="2" t="s">
        <v>1381</v>
      </c>
      <c r="D255" s="2">
        <v>233107</v>
      </c>
      <c r="E255" s="2" t="s">
        <v>1382</v>
      </c>
      <c r="F255" s="2" t="s">
        <v>1383</v>
      </c>
      <c r="G255" s="2" t="s">
        <v>1384</v>
      </c>
      <c r="H255" s="2">
        <v>87562062396.100006</v>
      </c>
      <c r="I255" s="2">
        <v>2099.99999931</v>
      </c>
      <c r="J255" s="2">
        <v>23.914413079999999</v>
      </c>
      <c r="K255" s="2">
        <v>599503</v>
      </c>
      <c r="L255" s="2">
        <v>7019199231180</v>
      </c>
      <c r="M255" s="2">
        <v>346528</v>
      </c>
      <c r="N255" s="2" t="s">
        <v>1385</v>
      </c>
      <c r="O255" s="2">
        <v>2.7120000000000001E-5</v>
      </c>
      <c r="P255" s="2">
        <v>119120595</v>
      </c>
      <c r="Q255" s="2">
        <v>168</v>
      </c>
    </row>
    <row r="256" spans="1:17" x14ac:dyDescent="0.25">
      <c r="A256" s="1">
        <v>43354</v>
      </c>
      <c r="B256" s="2" t="s">
        <v>1386</v>
      </c>
      <c r="C256" s="2" t="s">
        <v>1387</v>
      </c>
      <c r="D256" s="2">
        <v>237430</v>
      </c>
      <c r="E256" s="2" t="s">
        <v>1388</v>
      </c>
      <c r="F256" s="2" t="s">
        <v>1389</v>
      </c>
      <c r="G256" s="2" t="s">
        <v>1390</v>
      </c>
      <c r="H256" s="2">
        <v>87600977376.199997</v>
      </c>
      <c r="I256" s="2">
        <v>1762.5</v>
      </c>
      <c r="J256" s="2">
        <v>23.274703840000001</v>
      </c>
      <c r="K256" s="2">
        <v>651098</v>
      </c>
      <c r="L256" s="2">
        <v>7019199231180</v>
      </c>
      <c r="M256" s="2">
        <v>356798</v>
      </c>
      <c r="N256" s="2" t="s">
        <v>1391</v>
      </c>
      <c r="O256" s="2">
        <v>2.2880000000000001E-5</v>
      </c>
      <c r="P256" s="2">
        <v>132796815</v>
      </c>
      <c r="Q256" s="2">
        <v>141</v>
      </c>
    </row>
    <row r="257" spans="1:17" x14ac:dyDescent="0.25">
      <c r="A257" s="1">
        <v>43353</v>
      </c>
      <c r="B257" s="2" t="s">
        <v>1392</v>
      </c>
      <c r="C257" s="2" t="s">
        <v>1393</v>
      </c>
      <c r="D257" s="2">
        <v>222731</v>
      </c>
      <c r="E257" s="2" t="s">
        <v>1394</v>
      </c>
      <c r="F257" s="2" t="s">
        <v>1395</v>
      </c>
      <c r="G257" s="2" t="s">
        <v>1396</v>
      </c>
      <c r="H257" s="2">
        <v>87680094076.399994</v>
      </c>
      <c r="I257" s="2">
        <v>1687.5</v>
      </c>
      <c r="J257" s="2">
        <v>19.97514305</v>
      </c>
      <c r="K257" s="2">
        <v>614057</v>
      </c>
      <c r="L257" s="2">
        <v>7019199231180</v>
      </c>
      <c r="M257" s="2">
        <v>342312</v>
      </c>
      <c r="N257" s="2" t="s">
        <v>1397</v>
      </c>
      <c r="O257" s="2">
        <v>1.8130000000000001E-5</v>
      </c>
      <c r="P257" s="2">
        <v>121373337</v>
      </c>
      <c r="Q257" s="2">
        <v>135</v>
      </c>
    </row>
    <row r="258" spans="1:17" x14ac:dyDescent="0.25">
      <c r="A258" s="1">
        <v>43352</v>
      </c>
      <c r="B258" s="2" t="s">
        <v>1398</v>
      </c>
      <c r="C258" s="2" t="s">
        <v>1399</v>
      </c>
      <c r="D258" s="2">
        <v>188749</v>
      </c>
      <c r="E258" s="2" t="s">
        <v>1400</v>
      </c>
      <c r="F258" s="2" t="s">
        <v>1401</v>
      </c>
      <c r="G258" s="2" t="s">
        <v>1402</v>
      </c>
      <c r="H258" s="2">
        <v>87713304417.199997</v>
      </c>
      <c r="I258" s="2">
        <v>2037.5</v>
      </c>
      <c r="J258" s="2">
        <v>18.370288970000001</v>
      </c>
      <c r="K258" s="2">
        <v>506835</v>
      </c>
      <c r="L258" s="2">
        <v>7019199231180</v>
      </c>
      <c r="M258" s="2">
        <v>295698</v>
      </c>
      <c r="N258" s="2" t="s">
        <v>1403</v>
      </c>
      <c r="O258" s="2">
        <v>2.7339999999999999E-5</v>
      </c>
      <c r="P258" s="2">
        <v>100412746</v>
      </c>
      <c r="Q258" s="2">
        <v>163</v>
      </c>
    </row>
    <row r="259" spans="1:17" x14ac:dyDescent="0.25">
      <c r="A259" s="1">
        <v>43351</v>
      </c>
      <c r="B259" s="2" t="s">
        <v>1404</v>
      </c>
      <c r="C259" s="2" t="s">
        <v>1405</v>
      </c>
      <c r="D259" s="2">
        <v>204278</v>
      </c>
      <c r="E259" s="2" t="s">
        <v>1406</v>
      </c>
      <c r="F259" s="2" t="s">
        <v>1407</v>
      </c>
      <c r="G259" s="2" t="s">
        <v>1408</v>
      </c>
      <c r="H259" s="2">
        <v>87743423342.699997</v>
      </c>
      <c r="I259" s="2">
        <v>1875</v>
      </c>
      <c r="J259" s="2">
        <v>18.819375910000002</v>
      </c>
      <c r="K259" s="2">
        <v>546144</v>
      </c>
      <c r="L259" s="2">
        <v>7019199231180</v>
      </c>
      <c r="M259" s="2">
        <v>317533</v>
      </c>
      <c r="N259" s="2" t="s">
        <v>1409</v>
      </c>
      <c r="O259" s="2">
        <v>2.7710000000000001E-5</v>
      </c>
      <c r="P259" s="2">
        <v>106580970</v>
      </c>
      <c r="Q259" s="2">
        <v>150</v>
      </c>
    </row>
    <row r="260" spans="1:17" x14ac:dyDescent="0.25">
      <c r="A260" s="1">
        <v>43350</v>
      </c>
      <c r="B260" s="2" t="s">
        <v>1410</v>
      </c>
      <c r="C260" s="2" t="s">
        <v>1411</v>
      </c>
      <c r="D260" s="2">
        <v>230638</v>
      </c>
      <c r="E260" s="2" t="s">
        <v>1412</v>
      </c>
      <c r="F260" s="2" t="s">
        <v>1413</v>
      </c>
      <c r="G260" s="2" t="s">
        <v>1414</v>
      </c>
      <c r="H260" s="2">
        <v>87788624654.199997</v>
      </c>
      <c r="I260" s="2">
        <v>1900</v>
      </c>
      <c r="J260" s="2">
        <v>27.921949819999998</v>
      </c>
      <c r="K260" s="2">
        <v>689985</v>
      </c>
      <c r="L260" s="2">
        <v>6971177230940</v>
      </c>
      <c r="M260" s="2">
        <v>429552</v>
      </c>
      <c r="N260" s="2" t="s">
        <v>1415</v>
      </c>
      <c r="O260" s="2">
        <v>3.7419999999999997E-5</v>
      </c>
      <c r="P260" s="2">
        <v>135266523</v>
      </c>
      <c r="Q260" s="2">
        <v>152</v>
      </c>
    </row>
    <row r="261" spans="1:17" x14ac:dyDescent="0.25">
      <c r="A261" s="1">
        <v>43349</v>
      </c>
      <c r="B261" s="2" t="s">
        <v>1416</v>
      </c>
      <c r="C261" s="2" t="s">
        <v>1417</v>
      </c>
      <c r="D261" s="2">
        <v>252111</v>
      </c>
      <c r="E261" s="2" t="s">
        <v>1418</v>
      </c>
      <c r="F261" s="2" t="s">
        <v>1419</v>
      </c>
      <c r="G261" s="2" t="s">
        <v>1420</v>
      </c>
      <c r="H261" s="2">
        <v>87850919393</v>
      </c>
      <c r="I261" s="2">
        <v>1874.9999992099999</v>
      </c>
      <c r="J261" s="2">
        <v>31.290060239999999</v>
      </c>
      <c r="K261" s="2">
        <v>666558</v>
      </c>
      <c r="L261" s="2">
        <v>6727225469720</v>
      </c>
      <c r="M261" s="2">
        <v>379621</v>
      </c>
      <c r="N261" s="2" t="s">
        <v>1421</v>
      </c>
      <c r="O261" s="2">
        <v>4.2349999999999999E-5</v>
      </c>
      <c r="P261" s="2">
        <v>133205581</v>
      </c>
      <c r="Q261" s="2">
        <v>150</v>
      </c>
    </row>
    <row r="262" spans="1:17" x14ac:dyDescent="0.25">
      <c r="A262" s="1">
        <v>43348</v>
      </c>
      <c r="B262" s="2" t="s">
        <v>1422</v>
      </c>
      <c r="C262" s="2" t="s">
        <v>1423</v>
      </c>
      <c r="D262" s="2">
        <v>246345</v>
      </c>
      <c r="E262" s="2" t="s">
        <v>1424</v>
      </c>
      <c r="F262" s="2" t="s">
        <v>1425</v>
      </c>
      <c r="G262" s="2" t="s">
        <v>1426</v>
      </c>
      <c r="H262" s="2">
        <v>87939144904.899994</v>
      </c>
      <c r="I262" s="2">
        <v>1649.99999697</v>
      </c>
      <c r="J262" s="2">
        <v>31.82732747</v>
      </c>
      <c r="K262" s="2">
        <v>664157</v>
      </c>
      <c r="L262" s="2">
        <v>6727225469720</v>
      </c>
      <c r="M262" s="2">
        <v>373480</v>
      </c>
      <c r="N262" s="2" t="s">
        <v>1427</v>
      </c>
      <c r="O262" s="2">
        <v>4.2599999999999999E-5</v>
      </c>
      <c r="P262" s="2">
        <v>133114599</v>
      </c>
      <c r="Q262" s="2">
        <v>132</v>
      </c>
    </row>
    <row r="263" spans="1:17" x14ac:dyDescent="0.25">
      <c r="A263" s="1">
        <v>43347</v>
      </c>
      <c r="B263" s="2" t="s">
        <v>1428</v>
      </c>
      <c r="C263" s="2" t="s">
        <v>1429</v>
      </c>
      <c r="D263" s="2">
        <v>232139</v>
      </c>
      <c r="E263" s="2" t="s">
        <v>1430</v>
      </c>
      <c r="F263" s="2" t="s">
        <v>1431</v>
      </c>
      <c r="G263" s="2" t="s">
        <v>1432</v>
      </c>
      <c r="H263" s="2">
        <v>88060179776.5</v>
      </c>
      <c r="I263" s="2">
        <v>1575</v>
      </c>
      <c r="J263" s="2">
        <v>24.106537899999999</v>
      </c>
      <c r="K263" s="2">
        <v>629625</v>
      </c>
      <c r="L263" s="2">
        <v>6727225469720</v>
      </c>
      <c r="M263" s="2">
        <v>354519</v>
      </c>
      <c r="N263" s="2" t="s">
        <v>1433</v>
      </c>
      <c r="O263" s="2">
        <v>2.688E-5</v>
      </c>
      <c r="P263" s="2">
        <v>120666513</v>
      </c>
      <c r="Q263" s="2">
        <v>126</v>
      </c>
    </row>
    <row r="264" spans="1:17" x14ac:dyDescent="0.25">
      <c r="A264" s="1">
        <v>43346</v>
      </c>
      <c r="B264" s="2" t="s">
        <v>1434</v>
      </c>
      <c r="C264" s="2" t="s">
        <v>1435</v>
      </c>
      <c r="D264" s="2">
        <v>222753</v>
      </c>
      <c r="E264" s="2" t="s">
        <v>1436</v>
      </c>
      <c r="F264" s="2" t="s">
        <v>1437</v>
      </c>
      <c r="G264" s="2" t="s">
        <v>1438</v>
      </c>
      <c r="H264" s="2">
        <v>88013210152.899994</v>
      </c>
      <c r="I264" s="2">
        <v>1799.9999992400001</v>
      </c>
      <c r="J264" s="2">
        <v>19.915982670000002</v>
      </c>
      <c r="K264" s="2">
        <v>613352</v>
      </c>
      <c r="L264" s="2">
        <v>6727225469720</v>
      </c>
      <c r="M264" s="2">
        <v>341989</v>
      </c>
      <c r="N264" s="2" t="s">
        <v>1439</v>
      </c>
      <c r="O264" s="2">
        <v>1.5820000000000001E-5</v>
      </c>
      <c r="P264" s="2">
        <v>121932358</v>
      </c>
      <c r="Q264" s="2">
        <v>144</v>
      </c>
    </row>
    <row r="265" spans="1:17" x14ac:dyDescent="0.25">
      <c r="A265" s="1">
        <v>43345</v>
      </c>
      <c r="B265" s="2" t="s">
        <v>1440</v>
      </c>
      <c r="C265" s="2" t="s">
        <v>1441</v>
      </c>
      <c r="D265" s="2">
        <v>187001</v>
      </c>
      <c r="E265" s="2" t="s">
        <v>1442</v>
      </c>
      <c r="F265" s="2" t="s">
        <v>1443</v>
      </c>
      <c r="G265" s="2" t="s">
        <v>1444</v>
      </c>
      <c r="H265" s="2">
        <v>87996409320.800003</v>
      </c>
      <c r="I265" s="2">
        <v>1799.99999923</v>
      </c>
      <c r="J265" s="2">
        <v>16.303317100000001</v>
      </c>
      <c r="K265" s="2">
        <v>495998</v>
      </c>
      <c r="L265" s="2">
        <v>6727225469720</v>
      </c>
      <c r="M265" s="2">
        <v>294192</v>
      </c>
      <c r="N265" s="2" t="s">
        <v>1445</v>
      </c>
      <c r="O265" s="2">
        <v>1.7759999999999999E-5</v>
      </c>
      <c r="P265" s="2">
        <v>93455529</v>
      </c>
      <c r="Q265" s="2">
        <v>144</v>
      </c>
    </row>
    <row r="266" spans="1:17" x14ac:dyDescent="0.25">
      <c r="A266" s="1">
        <v>43344</v>
      </c>
      <c r="B266" s="2" t="s">
        <v>1446</v>
      </c>
      <c r="C266" s="2" t="s">
        <v>1447</v>
      </c>
      <c r="D266" s="2">
        <v>213180</v>
      </c>
      <c r="E266" s="2" t="s">
        <v>1448</v>
      </c>
      <c r="F266" s="2" t="s">
        <v>1449</v>
      </c>
      <c r="G266" s="2" t="s">
        <v>1450</v>
      </c>
      <c r="H266" s="2">
        <v>87956251403.100006</v>
      </c>
      <c r="I266" s="2">
        <v>1887.5</v>
      </c>
      <c r="J266" s="2">
        <v>19.211722200000001</v>
      </c>
      <c r="K266" s="2">
        <v>564630</v>
      </c>
      <c r="L266" s="2">
        <v>6727225469720</v>
      </c>
      <c r="M266" s="2">
        <v>338890</v>
      </c>
      <c r="N266" s="2" t="s">
        <v>1451</v>
      </c>
      <c r="O266" s="2">
        <v>2.05E-5</v>
      </c>
      <c r="P266" s="2">
        <v>116163704</v>
      </c>
      <c r="Q266" s="2">
        <v>151</v>
      </c>
    </row>
    <row r="267" spans="1:17" x14ac:dyDescent="0.25">
      <c r="A267" s="1">
        <v>43343</v>
      </c>
      <c r="B267" s="2" t="s">
        <v>1452</v>
      </c>
      <c r="C267" s="2" t="s">
        <v>1453</v>
      </c>
      <c r="D267" s="2">
        <v>236921</v>
      </c>
      <c r="E267" s="2" t="s">
        <v>1454</v>
      </c>
      <c r="F267" s="2" t="s">
        <v>1455</v>
      </c>
      <c r="G267" s="2" t="s">
        <v>1456</v>
      </c>
      <c r="H267" s="2">
        <v>87911422569.5</v>
      </c>
      <c r="I267" s="2">
        <v>1937.4999984399999</v>
      </c>
      <c r="J267" s="2">
        <v>25.25628116</v>
      </c>
      <c r="K267" s="2">
        <v>651131</v>
      </c>
      <c r="L267" s="2">
        <v>6727225469720</v>
      </c>
      <c r="M267" s="2">
        <v>394845</v>
      </c>
      <c r="N267" s="2" t="s">
        <v>1457</v>
      </c>
      <c r="O267" s="2">
        <v>2.8819999999999999E-5</v>
      </c>
      <c r="P267" s="2">
        <v>125423100</v>
      </c>
      <c r="Q267" s="2">
        <v>155</v>
      </c>
    </row>
    <row r="268" spans="1:17" x14ac:dyDescent="0.25">
      <c r="A268" s="1">
        <v>43342</v>
      </c>
      <c r="B268" s="2" t="s">
        <v>1458</v>
      </c>
      <c r="C268" s="2" t="s">
        <v>1459</v>
      </c>
      <c r="D268" s="2">
        <v>231237</v>
      </c>
      <c r="E268" s="2" t="s">
        <v>1460</v>
      </c>
      <c r="F268" s="2" t="s">
        <v>1461</v>
      </c>
      <c r="G268" s="2" t="s">
        <v>1462</v>
      </c>
      <c r="H268" s="2">
        <v>87901694955</v>
      </c>
      <c r="I268" s="2">
        <v>1924.9999992400001</v>
      </c>
      <c r="J268" s="2">
        <v>24.10101603</v>
      </c>
      <c r="K268" s="2">
        <v>621242</v>
      </c>
      <c r="L268" s="2">
        <v>6727225469720</v>
      </c>
      <c r="M268" s="2">
        <v>347470</v>
      </c>
      <c r="N268" s="2" t="s">
        <v>1463</v>
      </c>
      <c r="O268" s="2">
        <v>2.5639999999999998E-5</v>
      </c>
      <c r="P268" s="2">
        <v>125933626</v>
      </c>
      <c r="Q268" s="2">
        <v>154</v>
      </c>
    </row>
    <row r="269" spans="1:17" x14ac:dyDescent="0.25">
      <c r="A269" s="1">
        <v>43341</v>
      </c>
      <c r="B269" s="2" t="s">
        <v>1464</v>
      </c>
      <c r="C269" s="2" t="s">
        <v>1465</v>
      </c>
      <c r="D269" s="2">
        <v>237369</v>
      </c>
      <c r="E269" s="2" t="s">
        <v>1466</v>
      </c>
      <c r="F269" s="2" t="s">
        <v>1467</v>
      </c>
      <c r="G269" s="2" t="s">
        <v>1468</v>
      </c>
      <c r="H269" s="2">
        <v>87881455397.399994</v>
      </c>
      <c r="I269" s="2">
        <v>1737.5</v>
      </c>
      <c r="J269" s="2">
        <v>23.647522909999999</v>
      </c>
      <c r="K269" s="2">
        <v>669404</v>
      </c>
      <c r="L269" s="2">
        <v>6727225469720</v>
      </c>
      <c r="M269" s="2">
        <v>388150</v>
      </c>
      <c r="N269" s="2" t="s">
        <v>1469</v>
      </c>
      <c r="O269" s="2">
        <v>2.374E-5</v>
      </c>
      <c r="P269" s="2">
        <v>126196179</v>
      </c>
      <c r="Q269" s="2">
        <v>139</v>
      </c>
    </row>
    <row r="270" spans="1:17" x14ac:dyDescent="0.25">
      <c r="A270" s="1">
        <v>43340</v>
      </c>
      <c r="B270" s="2" t="s">
        <v>1470</v>
      </c>
      <c r="C270" s="2" t="s">
        <v>1471</v>
      </c>
      <c r="D270" s="2">
        <v>237886</v>
      </c>
      <c r="E270" s="2" t="s">
        <v>1472</v>
      </c>
      <c r="F270" s="2" t="s">
        <v>1473</v>
      </c>
      <c r="G270" s="2" t="s">
        <v>1474</v>
      </c>
      <c r="H270" s="2">
        <v>87772851017.300003</v>
      </c>
      <c r="I270" s="2">
        <v>1912.5</v>
      </c>
      <c r="J270" s="2">
        <v>45.21346372</v>
      </c>
      <c r="K270" s="2">
        <v>663743</v>
      </c>
      <c r="L270" s="2">
        <v>6727225469720</v>
      </c>
      <c r="M270" s="2">
        <v>368006</v>
      </c>
      <c r="N270" s="2" t="s">
        <v>1475</v>
      </c>
      <c r="O270" s="2">
        <v>3.0000000000000001E-5</v>
      </c>
      <c r="P270" s="2">
        <v>134621756</v>
      </c>
      <c r="Q270" s="2">
        <v>153</v>
      </c>
    </row>
    <row r="271" spans="1:17" x14ac:dyDescent="0.25">
      <c r="A271" s="1">
        <v>43339</v>
      </c>
      <c r="B271" s="2" t="s">
        <v>1476</v>
      </c>
      <c r="C271" s="2" t="s">
        <v>1477</v>
      </c>
      <c r="D271" s="2">
        <v>223471</v>
      </c>
      <c r="E271" s="2" t="s">
        <v>1478</v>
      </c>
      <c r="F271" s="2" t="s">
        <v>1479</v>
      </c>
      <c r="G271" s="2" t="s">
        <v>1480</v>
      </c>
      <c r="H271" s="2">
        <v>87678640581.800003</v>
      </c>
      <c r="I271" s="2">
        <v>2312.49999927</v>
      </c>
      <c r="J271" s="2">
        <v>32.655803560000003</v>
      </c>
      <c r="K271" s="2">
        <v>664869</v>
      </c>
      <c r="L271" s="2">
        <v>6727225469720</v>
      </c>
      <c r="M271" s="2">
        <v>351392</v>
      </c>
      <c r="N271" s="2" t="s">
        <v>1481</v>
      </c>
      <c r="O271" s="2">
        <v>1.03E-5</v>
      </c>
      <c r="P271" s="2">
        <v>129786683</v>
      </c>
      <c r="Q271" s="2">
        <v>185</v>
      </c>
    </row>
    <row r="272" spans="1:17" x14ac:dyDescent="0.25">
      <c r="A272" s="1">
        <v>43338</v>
      </c>
      <c r="B272" s="2" t="s">
        <v>1482</v>
      </c>
      <c r="C272" s="2" t="s">
        <v>1483</v>
      </c>
      <c r="D272" s="2">
        <v>172574</v>
      </c>
      <c r="E272" s="2" t="s">
        <v>1484</v>
      </c>
      <c r="F272" s="2" t="s">
        <v>1485</v>
      </c>
      <c r="G272" s="2" t="s">
        <v>1486</v>
      </c>
      <c r="H272" s="2">
        <v>87588362405.899994</v>
      </c>
      <c r="I272" s="2">
        <v>2162.49999858</v>
      </c>
      <c r="J272" s="2">
        <v>27.803006020000002</v>
      </c>
      <c r="K272" s="2">
        <v>502611</v>
      </c>
      <c r="L272" s="2">
        <v>6727225469720</v>
      </c>
      <c r="M272" s="2">
        <v>283228</v>
      </c>
      <c r="N272" s="2" t="s">
        <v>1487</v>
      </c>
      <c r="O272" s="2">
        <v>8.9299999999999992E-6</v>
      </c>
      <c r="P272" s="2">
        <v>98560782</v>
      </c>
      <c r="Q272" s="2">
        <v>173</v>
      </c>
    </row>
    <row r="273" spans="1:17" x14ac:dyDescent="0.25">
      <c r="A273" s="1">
        <v>43337</v>
      </c>
      <c r="B273" s="2" t="s">
        <v>1488</v>
      </c>
      <c r="C273" s="2" t="s">
        <v>1489</v>
      </c>
      <c r="D273" s="2">
        <v>196285</v>
      </c>
      <c r="E273" s="2" t="s">
        <v>1490</v>
      </c>
      <c r="F273" s="2" t="s">
        <v>1491</v>
      </c>
      <c r="G273" s="2" t="s">
        <v>1492</v>
      </c>
      <c r="H273" s="2">
        <v>87539078925</v>
      </c>
      <c r="I273" s="2">
        <v>1687.5</v>
      </c>
      <c r="J273" s="2">
        <v>21.06312548</v>
      </c>
      <c r="K273" s="2">
        <v>548608</v>
      </c>
      <c r="L273" s="2">
        <v>6727225469720</v>
      </c>
      <c r="M273" s="2">
        <v>319211</v>
      </c>
      <c r="N273" s="2" t="s">
        <v>1493</v>
      </c>
      <c r="O273" s="2">
        <v>1.13E-5</v>
      </c>
      <c r="P273" s="2">
        <v>103079478</v>
      </c>
      <c r="Q273" s="2">
        <v>135</v>
      </c>
    </row>
    <row r="274" spans="1:17" x14ac:dyDescent="0.25">
      <c r="A274" s="1">
        <v>43336</v>
      </c>
      <c r="B274" s="2" t="s">
        <v>1494</v>
      </c>
      <c r="C274" s="2" t="s">
        <v>1495</v>
      </c>
      <c r="D274" s="2">
        <v>219702</v>
      </c>
      <c r="E274" s="2" t="s">
        <v>1496</v>
      </c>
      <c r="F274" s="2" t="s">
        <v>1497</v>
      </c>
      <c r="G274" s="2" t="s">
        <v>1498</v>
      </c>
      <c r="H274" s="2">
        <v>87470268850.800003</v>
      </c>
      <c r="I274" s="2">
        <v>1825</v>
      </c>
      <c r="J274" s="2">
        <v>19.153563290000001</v>
      </c>
      <c r="K274" s="2">
        <v>632142</v>
      </c>
      <c r="L274" s="2">
        <v>6505039002080</v>
      </c>
      <c r="M274" s="2">
        <v>382945</v>
      </c>
      <c r="N274" s="2" t="s">
        <v>1499</v>
      </c>
      <c r="O274" s="2">
        <v>1.6990000000000002E-5</v>
      </c>
      <c r="P274" s="2">
        <v>119823738</v>
      </c>
      <c r="Q274" s="2">
        <v>146</v>
      </c>
    </row>
    <row r="275" spans="1:17" x14ac:dyDescent="0.25">
      <c r="A275" s="1">
        <v>43335</v>
      </c>
      <c r="B275" s="2" t="s">
        <v>1500</v>
      </c>
      <c r="C275" s="2" t="s">
        <v>1501</v>
      </c>
      <c r="D275" s="2">
        <v>217203</v>
      </c>
      <c r="E275" s="2" t="s">
        <v>1502</v>
      </c>
      <c r="F275" s="2" t="s">
        <v>1503</v>
      </c>
      <c r="G275" s="2" t="s">
        <v>1504</v>
      </c>
      <c r="H275" s="2">
        <v>87434792740</v>
      </c>
      <c r="I275" s="2">
        <v>1862.49999927</v>
      </c>
      <c r="J275" s="2">
        <v>19.308370360000001</v>
      </c>
      <c r="K275" s="2">
        <v>569277</v>
      </c>
      <c r="L275" s="2">
        <v>6389316883510</v>
      </c>
      <c r="M275" s="2">
        <v>338921</v>
      </c>
      <c r="N275" s="2" t="s">
        <v>1505</v>
      </c>
      <c r="O275" s="2">
        <v>1.9709999999999999E-5</v>
      </c>
      <c r="P275" s="2">
        <v>114490282</v>
      </c>
      <c r="Q275" s="2">
        <v>149</v>
      </c>
    </row>
    <row r="276" spans="1:17" x14ac:dyDescent="0.25">
      <c r="A276" s="1">
        <v>43334</v>
      </c>
      <c r="B276" s="2" t="s">
        <v>1506</v>
      </c>
      <c r="C276" s="2" t="s">
        <v>1507</v>
      </c>
      <c r="D276" s="2">
        <v>230173</v>
      </c>
      <c r="E276" s="2" t="s">
        <v>1508</v>
      </c>
      <c r="F276" s="2" t="s">
        <v>1509</v>
      </c>
      <c r="G276" s="2" t="s">
        <v>1510</v>
      </c>
      <c r="H276" s="2">
        <v>87401115812.800003</v>
      </c>
      <c r="I276" s="2">
        <v>1999.9999984999999</v>
      </c>
      <c r="J276" s="2">
        <v>24.274180430000001</v>
      </c>
      <c r="K276" s="2">
        <v>638156</v>
      </c>
      <c r="L276" s="2">
        <v>6389316883510</v>
      </c>
      <c r="M276" s="2">
        <v>369529</v>
      </c>
      <c r="N276" s="2" t="s">
        <v>1511</v>
      </c>
      <c r="O276" s="2">
        <v>2.298E-5</v>
      </c>
      <c r="P276" s="2">
        <v>123983722</v>
      </c>
      <c r="Q276" s="2">
        <v>160</v>
      </c>
    </row>
    <row r="277" spans="1:17" x14ac:dyDescent="0.25">
      <c r="A277" s="1">
        <v>43333</v>
      </c>
      <c r="B277" s="2" t="s">
        <v>1512</v>
      </c>
      <c r="C277" s="2" t="s">
        <v>1513</v>
      </c>
      <c r="D277" s="2">
        <v>217629</v>
      </c>
      <c r="E277" s="2" t="s">
        <v>1514</v>
      </c>
      <c r="F277" s="2" t="s">
        <v>1515</v>
      </c>
      <c r="G277" s="2" t="s">
        <v>1516</v>
      </c>
      <c r="H277" s="2">
        <v>87403679112.399994</v>
      </c>
      <c r="I277" s="2">
        <v>1849.9999993199999</v>
      </c>
      <c r="J277" s="2">
        <v>24.752275839999999</v>
      </c>
      <c r="K277" s="2">
        <v>589708</v>
      </c>
      <c r="L277" s="2">
        <v>6389316883510</v>
      </c>
      <c r="M277" s="2">
        <v>340058</v>
      </c>
      <c r="N277" s="2" t="s">
        <v>1517</v>
      </c>
      <c r="O277" s="2">
        <v>2.7120000000000001E-5</v>
      </c>
      <c r="P277" s="2">
        <v>115408430</v>
      </c>
      <c r="Q277" s="2">
        <v>148</v>
      </c>
    </row>
    <row r="278" spans="1:17" x14ac:dyDescent="0.25">
      <c r="A278" s="1">
        <v>43332</v>
      </c>
      <c r="B278" s="2" t="s">
        <v>1518</v>
      </c>
      <c r="C278" s="2" t="s">
        <v>1519</v>
      </c>
      <c r="D278" s="2">
        <v>214833</v>
      </c>
      <c r="E278" s="2" t="s">
        <v>1520</v>
      </c>
      <c r="F278" s="2" t="s">
        <v>1521</v>
      </c>
      <c r="G278" s="2" t="s">
        <v>1522</v>
      </c>
      <c r="H278" s="2">
        <v>87382295449.100006</v>
      </c>
      <c r="I278" s="2">
        <v>1875</v>
      </c>
      <c r="J278" s="2">
        <v>29.072338930000001</v>
      </c>
      <c r="K278" s="2">
        <v>623598</v>
      </c>
      <c r="L278" s="2">
        <v>6389316883510</v>
      </c>
      <c r="M278" s="2">
        <v>349379</v>
      </c>
      <c r="N278" s="2" t="s">
        <v>1523</v>
      </c>
      <c r="O278" s="2">
        <v>2.5899999999999999E-5</v>
      </c>
      <c r="P278" s="2">
        <v>122727236</v>
      </c>
      <c r="Q278" s="2">
        <v>150</v>
      </c>
    </row>
    <row r="279" spans="1:17" x14ac:dyDescent="0.25">
      <c r="A279" s="1">
        <v>43331</v>
      </c>
      <c r="B279" s="2" t="s">
        <v>1524</v>
      </c>
      <c r="C279" s="2" t="s">
        <v>1525</v>
      </c>
      <c r="D279" s="2">
        <v>167255</v>
      </c>
      <c r="E279" s="2" t="s">
        <v>1526</v>
      </c>
      <c r="F279" s="2" t="s">
        <v>1527</v>
      </c>
      <c r="G279" s="2" t="s">
        <v>1528</v>
      </c>
      <c r="H279" s="2">
        <v>87417032416.100006</v>
      </c>
      <c r="I279" s="2">
        <v>1812.4999984399999</v>
      </c>
      <c r="J279" s="2">
        <v>17.04586085</v>
      </c>
      <c r="K279" s="2">
        <v>514313</v>
      </c>
      <c r="L279" s="2">
        <v>6389316883510</v>
      </c>
      <c r="M279" s="2">
        <v>316565</v>
      </c>
      <c r="N279" s="2" t="s">
        <v>1529</v>
      </c>
      <c r="O279" s="2">
        <v>9.0399999999999998E-6</v>
      </c>
      <c r="P279" s="2">
        <v>89831571</v>
      </c>
      <c r="Q279" s="2">
        <v>145</v>
      </c>
    </row>
    <row r="280" spans="1:17" x14ac:dyDescent="0.25">
      <c r="A280" s="1">
        <v>43330</v>
      </c>
      <c r="B280" s="2" t="s">
        <v>1530</v>
      </c>
      <c r="C280" s="2" t="s">
        <v>1531</v>
      </c>
      <c r="D280" s="2">
        <v>190775</v>
      </c>
      <c r="E280" s="2" t="s">
        <v>1532</v>
      </c>
      <c r="F280" s="2" t="s">
        <v>1533</v>
      </c>
      <c r="G280" s="2" t="s">
        <v>1534</v>
      </c>
      <c r="H280" s="2">
        <v>87378636835.300003</v>
      </c>
      <c r="I280" s="2">
        <v>2000</v>
      </c>
      <c r="J280" s="2">
        <v>16.45331646</v>
      </c>
      <c r="K280" s="2">
        <v>502019</v>
      </c>
      <c r="L280" s="2">
        <v>6389316883510</v>
      </c>
      <c r="M280" s="2">
        <v>308597</v>
      </c>
      <c r="N280" s="2" t="s">
        <v>1535</v>
      </c>
      <c r="O280" s="2">
        <v>1.3679999999999999E-5</v>
      </c>
      <c r="P280" s="2">
        <v>94409636</v>
      </c>
      <c r="Q280" s="2">
        <v>160</v>
      </c>
    </row>
    <row r="281" spans="1:17" x14ac:dyDescent="0.25">
      <c r="A281" s="1">
        <v>43329</v>
      </c>
      <c r="B281" s="2" t="s">
        <v>1536</v>
      </c>
      <c r="C281" s="2" t="s">
        <v>1537</v>
      </c>
      <c r="D281" s="2">
        <v>233642</v>
      </c>
      <c r="E281" s="2" t="s">
        <v>1538</v>
      </c>
      <c r="F281" s="2" t="s">
        <v>1539</v>
      </c>
      <c r="G281" s="2" t="s">
        <v>1540</v>
      </c>
      <c r="H281" s="2">
        <v>87398950664.600006</v>
      </c>
      <c r="I281" s="2">
        <v>1900</v>
      </c>
      <c r="J281" s="2">
        <v>24.88424895</v>
      </c>
      <c r="K281" s="2">
        <v>652818</v>
      </c>
      <c r="L281" s="2">
        <v>6389316883510</v>
      </c>
      <c r="M281" s="2">
        <v>399526</v>
      </c>
      <c r="N281" s="2" t="s">
        <v>1541</v>
      </c>
      <c r="O281" s="2">
        <v>1.7200000000000001E-5</v>
      </c>
      <c r="P281" s="2">
        <v>126620477</v>
      </c>
      <c r="Q281" s="2">
        <v>152</v>
      </c>
    </row>
    <row r="282" spans="1:17" x14ac:dyDescent="0.25">
      <c r="A282" s="1">
        <v>43328</v>
      </c>
      <c r="B282" s="2" t="s">
        <v>1542</v>
      </c>
      <c r="C282" s="2" t="s">
        <v>1543</v>
      </c>
      <c r="D282" s="2">
        <v>232177</v>
      </c>
      <c r="E282" s="2" t="s">
        <v>1544</v>
      </c>
      <c r="F282" s="2" t="s">
        <v>1545</v>
      </c>
      <c r="G282" s="2" t="s">
        <v>1546</v>
      </c>
      <c r="H282" s="2">
        <v>87347718699.100006</v>
      </c>
      <c r="I282" s="2">
        <v>1975</v>
      </c>
      <c r="J282" s="2">
        <v>24.047694539999998</v>
      </c>
      <c r="K282" s="2">
        <v>620660</v>
      </c>
      <c r="L282" s="2">
        <v>6389316883510</v>
      </c>
      <c r="M282" s="2">
        <v>362609</v>
      </c>
      <c r="N282" s="2" t="s">
        <v>1547</v>
      </c>
      <c r="O282" s="2">
        <v>2.2010000000000001E-5</v>
      </c>
      <c r="P282" s="2">
        <v>120387676</v>
      </c>
      <c r="Q282" s="2">
        <v>158</v>
      </c>
    </row>
    <row r="283" spans="1:17" x14ac:dyDescent="0.25">
      <c r="A283" s="1">
        <v>43327</v>
      </c>
      <c r="B283" s="2" t="s">
        <v>1548</v>
      </c>
      <c r="C283" s="2" t="s">
        <v>1549</v>
      </c>
      <c r="D283" s="2">
        <v>245905</v>
      </c>
      <c r="E283" s="2" t="s">
        <v>1550</v>
      </c>
      <c r="F283" s="2" t="s">
        <v>1551</v>
      </c>
      <c r="G283" s="2" t="s">
        <v>1552</v>
      </c>
      <c r="H283" s="2">
        <v>87352296440.800003</v>
      </c>
      <c r="I283" s="2">
        <v>2012.4999992200001</v>
      </c>
      <c r="J283" s="2">
        <v>22.16329503</v>
      </c>
      <c r="K283" s="2">
        <v>680561</v>
      </c>
      <c r="L283" s="2">
        <v>6389316883510</v>
      </c>
      <c r="M283" s="2">
        <v>417302</v>
      </c>
      <c r="N283" s="2" t="s">
        <v>1553</v>
      </c>
      <c r="O283" s="2">
        <v>1.7819999999999999E-5</v>
      </c>
      <c r="P283" s="2">
        <v>127361812</v>
      </c>
      <c r="Q283" s="2">
        <v>161</v>
      </c>
    </row>
    <row r="284" spans="1:17" x14ac:dyDescent="0.25">
      <c r="A284" s="1">
        <v>43326</v>
      </c>
      <c r="B284" s="2" t="s">
        <v>1554</v>
      </c>
      <c r="C284" s="2" t="s">
        <v>1555</v>
      </c>
      <c r="D284" s="2">
        <v>247486</v>
      </c>
      <c r="E284" s="2" t="s">
        <v>1556</v>
      </c>
      <c r="F284" s="2" t="s">
        <v>1557</v>
      </c>
      <c r="G284" s="2" t="s">
        <v>1558</v>
      </c>
      <c r="H284" s="2">
        <v>87435257056.199997</v>
      </c>
      <c r="I284" s="2">
        <v>1700</v>
      </c>
      <c r="J284" s="2">
        <v>26.455825369999999</v>
      </c>
      <c r="K284" s="2">
        <v>657023</v>
      </c>
      <c r="L284" s="2">
        <v>6389316883510</v>
      </c>
      <c r="M284" s="2">
        <v>393307</v>
      </c>
      <c r="N284" s="2" t="s">
        <v>1559</v>
      </c>
      <c r="O284" s="2">
        <v>2.3E-5</v>
      </c>
      <c r="P284" s="2">
        <v>137603837</v>
      </c>
      <c r="Q284" s="2">
        <v>136</v>
      </c>
    </row>
    <row r="285" spans="1:17" x14ac:dyDescent="0.25">
      <c r="A285" s="1">
        <v>43325</v>
      </c>
      <c r="B285" s="2" t="s">
        <v>1560</v>
      </c>
      <c r="C285" s="2" t="s">
        <v>1561</v>
      </c>
      <c r="D285" s="2">
        <v>222079</v>
      </c>
      <c r="E285" s="2" t="s">
        <v>1562</v>
      </c>
      <c r="F285" s="2" t="s">
        <v>1563</v>
      </c>
      <c r="G285" s="2" t="s">
        <v>1564</v>
      </c>
      <c r="H285" s="2">
        <v>87561548221.199997</v>
      </c>
      <c r="I285" s="2">
        <v>1874.9999992400001</v>
      </c>
      <c r="J285" s="2">
        <v>19.920804669999999</v>
      </c>
      <c r="K285" s="2">
        <v>611815</v>
      </c>
      <c r="L285" s="2">
        <v>6389316883510</v>
      </c>
      <c r="M285" s="2">
        <v>355002</v>
      </c>
      <c r="N285" s="2" t="s">
        <v>1565</v>
      </c>
      <c r="O285" s="2">
        <v>1.5820000000000001E-5</v>
      </c>
      <c r="P285" s="2">
        <v>135974531</v>
      </c>
      <c r="Q285" s="2">
        <v>150</v>
      </c>
    </row>
    <row r="286" spans="1:17" x14ac:dyDescent="0.25">
      <c r="A286" s="1">
        <v>43324</v>
      </c>
      <c r="B286" s="2" t="s">
        <v>1566</v>
      </c>
      <c r="C286" s="2" t="s">
        <v>1567</v>
      </c>
      <c r="D286" s="2">
        <v>164889</v>
      </c>
      <c r="E286" s="2" t="s">
        <v>1568</v>
      </c>
      <c r="F286" s="2" t="s">
        <v>1569</v>
      </c>
      <c r="G286" s="2" t="s">
        <v>1570</v>
      </c>
      <c r="H286" s="2">
        <v>87585620398.399994</v>
      </c>
      <c r="I286" s="2">
        <v>1937.4999992600001</v>
      </c>
      <c r="J286" s="2">
        <v>12.775256929999999</v>
      </c>
      <c r="K286" s="2">
        <v>477955</v>
      </c>
      <c r="L286" s="2">
        <v>6389316883510</v>
      </c>
      <c r="M286" s="2">
        <v>283875</v>
      </c>
      <c r="N286" s="2" t="s">
        <v>1571</v>
      </c>
      <c r="O286" s="2">
        <v>8.8100000000000004E-6</v>
      </c>
      <c r="P286" s="2">
        <v>90604745</v>
      </c>
      <c r="Q286" s="2">
        <v>155</v>
      </c>
    </row>
    <row r="287" spans="1:17" x14ac:dyDescent="0.25">
      <c r="A287" s="1">
        <v>43323</v>
      </c>
      <c r="B287" s="2" t="s">
        <v>1572</v>
      </c>
      <c r="C287" s="2" t="s">
        <v>1573</v>
      </c>
      <c r="D287" s="2">
        <v>192268</v>
      </c>
      <c r="E287" s="2" t="s">
        <v>1574</v>
      </c>
      <c r="F287" s="2" t="s">
        <v>1575</v>
      </c>
      <c r="G287" s="2" t="s">
        <v>1576</v>
      </c>
      <c r="H287" s="2">
        <v>87602642490.100006</v>
      </c>
      <c r="I287" s="2">
        <v>2125</v>
      </c>
      <c r="J287" s="2">
        <v>15.390506630000001</v>
      </c>
      <c r="K287" s="2">
        <v>525917</v>
      </c>
      <c r="L287" s="2">
        <v>6197839919510</v>
      </c>
      <c r="M287" s="2">
        <v>308729</v>
      </c>
      <c r="N287" s="2" t="s">
        <v>1577</v>
      </c>
      <c r="O287" s="2">
        <v>1.1219999999999999E-5</v>
      </c>
      <c r="P287" s="2">
        <v>103956856</v>
      </c>
      <c r="Q287" s="2">
        <v>170</v>
      </c>
    </row>
    <row r="288" spans="1:17" x14ac:dyDescent="0.25">
      <c r="A288" s="1">
        <v>43322</v>
      </c>
      <c r="B288" s="2" t="s">
        <v>1578</v>
      </c>
      <c r="C288" s="2" t="s">
        <v>1579</v>
      </c>
      <c r="D288" s="2">
        <v>225972</v>
      </c>
      <c r="E288" s="2" t="s">
        <v>1580</v>
      </c>
      <c r="F288" s="2" t="s">
        <v>1581</v>
      </c>
      <c r="G288" s="2" t="s">
        <v>1582</v>
      </c>
      <c r="H288" s="2">
        <v>87656776126.399994</v>
      </c>
      <c r="I288" s="2">
        <v>2199.99999927</v>
      </c>
      <c r="J288" s="2">
        <v>20.414517610000001</v>
      </c>
      <c r="K288" s="2">
        <v>658540</v>
      </c>
      <c r="L288" s="2">
        <v>5949437371610</v>
      </c>
      <c r="M288" s="2">
        <v>417084</v>
      </c>
      <c r="N288" s="2" t="s">
        <v>1583</v>
      </c>
      <c r="O288" s="2">
        <v>1.5659999999999999E-5</v>
      </c>
      <c r="P288" s="2">
        <v>139458549</v>
      </c>
      <c r="Q288" s="2">
        <v>176</v>
      </c>
    </row>
    <row r="289" spans="1:17" x14ac:dyDescent="0.25">
      <c r="A289" s="1">
        <v>43321</v>
      </c>
      <c r="B289" s="2" t="s">
        <v>1584</v>
      </c>
      <c r="C289" s="2" t="s">
        <v>1585</v>
      </c>
      <c r="D289" s="2">
        <v>222177</v>
      </c>
      <c r="E289" s="2" t="s">
        <v>1586</v>
      </c>
      <c r="F289" s="2" t="s">
        <v>1587</v>
      </c>
      <c r="G289" s="2" t="s">
        <v>1588</v>
      </c>
      <c r="H289" s="2">
        <v>87747488784.699997</v>
      </c>
      <c r="I289" s="2">
        <v>1862.5</v>
      </c>
      <c r="J289" s="2">
        <v>20.750207499999998</v>
      </c>
      <c r="K289" s="2">
        <v>629986</v>
      </c>
      <c r="L289" s="2">
        <v>5949437371610</v>
      </c>
      <c r="M289" s="2">
        <v>360943</v>
      </c>
      <c r="N289" s="2" t="s">
        <v>1589</v>
      </c>
      <c r="O289" s="2">
        <v>2.2399999999999999E-5</v>
      </c>
      <c r="P289" s="2">
        <v>119848994</v>
      </c>
      <c r="Q289" s="2">
        <v>149</v>
      </c>
    </row>
    <row r="290" spans="1:17" x14ac:dyDescent="0.25">
      <c r="A290" s="1">
        <v>43320</v>
      </c>
      <c r="B290" s="2" t="s">
        <v>1590</v>
      </c>
      <c r="C290" s="2" t="s">
        <v>1591</v>
      </c>
      <c r="D290" s="2">
        <v>235154</v>
      </c>
      <c r="E290" s="2" t="s">
        <v>1592</v>
      </c>
      <c r="F290" s="2" t="s">
        <v>1593</v>
      </c>
      <c r="G290" s="2" t="s">
        <v>1594</v>
      </c>
      <c r="H290" s="2">
        <v>87828212180.5</v>
      </c>
      <c r="I290" s="2">
        <v>1962.49999852</v>
      </c>
      <c r="J290" s="2">
        <v>20.750860110000001</v>
      </c>
      <c r="K290" s="2">
        <v>649793</v>
      </c>
      <c r="L290" s="2">
        <v>5949437371610</v>
      </c>
      <c r="M290" s="2">
        <v>390751</v>
      </c>
      <c r="N290" s="2" t="s">
        <v>1595</v>
      </c>
      <c r="O290" s="2">
        <v>1.5279999999999999E-5</v>
      </c>
      <c r="P290" s="2">
        <v>127634373</v>
      </c>
      <c r="Q290" s="2">
        <v>157</v>
      </c>
    </row>
    <row r="291" spans="1:17" x14ac:dyDescent="0.25">
      <c r="A291" s="1">
        <v>43319</v>
      </c>
      <c r="B291" s="2" t="s">
        <v>1596</v>
      </c>
      <c r="C291" s="2" t="s">
        <v>1597</v>
      </c>
      <c r="D291" s="2">
        <v>232894</v>
      </c>
      <c r="E291" s="2" t="s">
        <v>1598</v>
      </c>
      <c r="F291" s="2" t="s">
        <v>1599</v>
      </c>
      <c r="G291" s="2" t="s">
        <v>1600</v>
      </c>
      <c r="H291" s="2">
        <v>87967695149.100006</v>
      </c>
      <c r="I291" s="2">
        <v>1887.5</v>
      </c>
      <c r="J291" s="2">
        <v>18.615339259999999</v>
      </c>
      <c r="K291" s="2">
        <v>706511</v>
      </c>
      <c r="L291" s="2">
        <v>5949437371610</v>
      </c>
      <c r="M291" s="2">
        <v>365984</v>
      </c>
      <c r="N291" s="2" t="s">
        <v>1601</v>
      </c>
      <c r="O291" s="2">
        <v>1.3679999999999999E-5</v>
      </c>
      <c r="P291" s="2">
        <v>153485224</v>
      </c>
      <c r="Q291" s="2">
        <v>151</v>
      </c>
    </row>
    <row r="292" spans="1:17" x14ac:dyDescent="0.25">
      <c r="A292" s="1">
        <v>43318</v>
      </c>
      <c r="B292" s="2" t="s">
        <v>1602</v>
      </c>
      <c r="C292" s="2" t="s">
        <v>1603</v>
      </c>
      <c r="D292" s="2">
        <v>218476</v>
      </c>
      <c r="E292" s="2" t="s">
        <v>1604</v>
      </c>
      <c r="F292" s="2" t="s">
        <v>1605</v>
      </c>
      <c r="G292" s="2" t="s">
        <v>1606</v>
      </c>
      <c r="H292" s="2">
        <v>88044877240.100006</v>
      </c>
      <c r="I292" s="2">
        <v>1637.4999992099999</v>
      </c>
      <c r="J292" s="2">
        <v>17.750486200000001</v>
      </c>
      <c r="K292" s="2">
        <v>654516</v>
      </c>
      <c r="L292" s="2">
        <v>5949437371610</v>
      </c>
      <c r="M292" s="2">
        <v>349815</v>
      </c>
      <c r="N292" s="2" t="s">
        <v>1607</v>
      </c>
      <c r="O292" s="2">
        <v>1.4960000000000001E-5</v>
      </c>
      <c r="P292" s="2">
        <v>137679258</v>
      </c>
      <c r="Q292" s="2">
        <v>131</v>
      </c>
    </row>
    <row r="293" spans="1:17" x14ac:dyDescent="0.25">
      <c r="A293" s="1">
        <v>43317</v>
      </c>
      <c r="B293" s="2" t="s">
        <v>1608</v>
      </c>
      <c r="C293" s="2" t="s">
        <v>1609</v>
      </c>
      <c r="D293" s="2">
        <v>172021</v>
      </c>
      <c r="E293" s="2" t="s">
        <v>1610</v>
      </c>
      <c r="F293" s="2" t="s">
        <v>1611</v>
      </c>
      <c r="G293" s="2" t="s">
        <v>1612</v>
      </c>
      <c r="H293" s="2">
        <v>88118227246.899994</v>
      </c>
      <c r="I293" s="2">
        <v>2000</v>
      </c>
      <c r="J293" s="2">
        <v>13.629932800000001</v>
      </c>
      <c r="K293" s="2">
        <v>495719</v>
      </c>
      <c r="L293" s="2">
        <v>5949437371610</v>
      </c>
      <c r="M293" s="2">
        <v>297092</v>
      </c>
      <c r="N293" s="2" t="s">
        <v>1613</v>
      </c>
      <c r="O293" s="2">
        <v>1.13E-5</v>
      </c>
      <c r="P293" s="2">
        <v>92496859</v>
      </c>
      <c r="Q293" s="2">
        <v>160</v>
      </c>
    </row>
    <row r="294" spans="1:17" x14ac:dyDescent="0.25">
      <c r="A294" s="1">
        <v>43316</v>
      </c>
      <c r="B294" s="2" t="s">
        <v>1614</v>
      </c>
      <c r="C294" s="2" t="s">
        <v>1615</v>
      </c>
      <c r="D294" s="2">
        <v>191481</v>
      </c>
      <c r="E294" s="2" t="s">
        <v>1616</v>
      </c>
      <c r="F294" s="2" t="s">
        <v>1617</v>
      </c>
      <c r="G294" s="2" t="s">
        <v>1618</v>
      </c>
      <c r="H294" s="2">
        <v>88128127469.399994</v>
      </c>
      <c r="I294" s="2">
        <v>2200</v>
      </c>
      <c r="J294" s="2">
        <v>17.194531210000001</v>
      </c>
      <c r="K294" s="2">
        <v>542819</v>
      </c>
      <c r="L294" s="2">
        <v>5949437371610</v>
      </c>
      <c r="M294" s="2">
        <v>333559</v>
      </c>
      <c r="N294" s="2" t="s">
        <v>1619</v>
      </c>
      <c r="O294" s="2">
        <v>1.3560000000000001E-5</v>
      </c>
      <c r="P294" s="2">
        <v>101038463</v>
      </c>
      <c r="Q294" s="2">
        <v>176</v>
      </c>
    </row>
    <row r="295" spans="1:17" x14ac:dyDescent="0.25">
      <c r="A295" s="1">
        <v>43315</v>
      </c>
      <c r="B295" s="2" t="s">
        <v>1620</v>
      </c>
      <c r="C295" s="2" t="s">
        <v>1621</v>
      </c>
      <c r="D295" s="2">
        <v>229693</v>
      </c>
      <c r="E295" s="2" t="s">
        <v>1622</v>
      </c>
      <c r="F295" s="2" t="s">
        <v>1623</v>
      </c>
      <c r="G295" s="2" t="s">
        <v>1624</v>
      </c>
      <c r="H295" s="2">
        <v>88212374704</v>
      </c>
      <c r="I295" s="2">
        <v>2075</v>
      </c>
      <c r="J295" s="2">
        <v>23.21487948</v>
      </c>
      <c r="K295" s="2">
        <v>688873</v>
      </c>
      <c r="L295" s="2">
        <v>5949437371610</v>
      </c>
      <c r="M295" s="2">
        <v>436035</v>
      </c>
      <c r="N295" s="2" t="s">
        <v>1625</v>
      </c>
      <c r="O295" s="2">
        <v>1.9239999999999999E-5</v>
      </c>
      <c r="P295" s="2">
        <v>138448268</v>
      </c>
      <c r="Q295" s="2">
        <v>166</v>
      </c>
    </row>
    <row r="296" spans="1:17" x14ac:dyDescent="0.25">
      <c r="A296" s="1">
        <v>43314</v>
      </c>
      <c r="B296" s="2" t="s">
        <v>1626</v>
      </c>
      <c r="C296" s="2" t="s">
        <v>1627</v>
      </c>
      <c r="D296" s="2">
        <v>224720</v>
      </c>
      <c r="E296" s="2" t="s">
        <v>1628</v>
      </c>
      <c r="F296" s="2" t="s">
        <v>1629</v>
      </c>
      <c r="G296" s="2" t="s">
        <v>1630</v>
      </c>
      <c r="H296" s="2">
        <v>88262507718.399994</v>
      </c>
      <c r="I296" s="2">
        <v>1912.4999985100001</v>
      </c>
      <c r="J296" s="2">
        <v>25.209037779999999</v>
      </c>
      <c r="K296" s="2">
        <v>634184</v>
      </c>
      <c r="L296" s="2">
        <v>5949437371610</v>
      </c>
      <c r="M296" s="2">
        <v>358896</v>
      </c>
      <c r="N296" s="2" t="s">
        <v>1631</v>
      </c>
      <c r="O296" s="2">
        <v>1.855E-5</v>
      </c>
      <c r="P296" s="2">
        <v>123461583</v>
      </c>
      <c r="Q296" s="2">
        <v>153</v>
      </c>
    </row>
    <row r="297" spans="1:17" x14ac:dyDescent="0.25">
      <c r="A297" s="1">
        <v>43313</v>
      </c>
      <c r="B297" s="2" t="s">
        <v>1632</v>
      </c>
      <c r="C297" s="2" t="s">
        <v>1633</v>
      </c>
      <c r="D297" s="2">
        <v>240894</v>
      </c>
      <c r="E297" s="2" t="s">
        <v>1634</v>
      </c>
      <c r="F297" s="2" t="s">
        <v>1635</v>
      </c>
      <c r="G297" s="2" t="s">
        <v>1636</v>
      </c>
      <c r="H297" s="2">
        <v>88285098802.100006</v>
      </c>
      <c r="I297" s="2">
        <v>1874.9999984399999</v>
      </c>
      <c r="J297" s="2">
        <v>21.283298599999998</v>
      </c>
      <c r="K297" s="2">
        <v>705913</v>
      </c>
      <c r="L297" s="2">
        <v>5949437371610</v>
      </c>
      <c r="M297" s="2">
        <v>377686</v>
      </c>
      <c r="N297" s="2" t="s">
        <v>1637</v>
      </c>
      <c r="O297" s="2">
        <v>1.8300000000000001E-5</v>
      </c>
      <c r="P297" s="2">
        <v>148581175</v>
      </c>
      <c r="Q297" s="2">
        <v>150</v>
      </c>
    </row>
    <row r="298" spans="1:17" x14ac:dyDescent="0.25">
      <c r="A298" s="1">
        <v>43312</v>
      </c>
      <c r="B298" s="2" t="s">
        <v>1638</v>
      </c>
      <c r="C298" s="2" t="s">
        <v>1639</v>
      </c>
      <c r="D298" s="2">
        <v>242830</v>
      </c>
      <c r="E298" s="2" t="s">
        <v>1640</v>
      </c>
      <c r="F298" s="2" t="s">
        <v>1641</v>
      </c>
      <c r="G298" s="2" t="s">
        <v>1642</v>
      </c>
      <c r="H298" s="2">
        <v>88299676506.800003</v>
      </c>
      <c r="I298" s="2">
        <v>1837.4999992200001</v>
      </c>
      <c r="J298" s="2">
        <v>25.5829697</v>
      </c>
      <c r="K298" s="2">
        <v>690053</v>
      </c>
      <c r="L298" s="2">
        <v>5949437371610</v>
      </c>
      <c r="M298" s="2">
        <v>392240</v>
      </c>
      <c r="N298" s="2" t="s">
        <v>1643</v>
      </c>
      <c r="O298" s="2">
        <v>1.878E-5</v>
      </c>
      <c r="P298" s="2">
        <v>139681465</v>
      </c>
      <c r="Q298" s="2">
        <v>147</v>
      </c>
    </row>
    <row r="299" spans="1:17" x14ac:dyDescent="0.25">
      <c r="A299" s="1">
        <v>43311</v>
      </c>
      <c r="B299" s="2" t="s">
        <v>1644</v>
      </c>
      <c r="C299" s="2" t="s">
        <v>1645</v>
      </c>
      <c r="D299" s="2">
        <v>230790</v>
      </c>
      <c r="E299" s="2" t="s">
        <v>1646</v>
      </c>
      <c r="F299" s="2" t="s">
        <v>1647</v>
      </c>
      <c r="G299" s="2" t="s">
        <v>1648</v>
      </c>
      <c r="H299" s="2">
        <v>88313280811.800003</v>
      </c>
      <c r="I299" s="2">
        <v>1675</v>
      </c>
      <c r="J299" s="2">
        <v>24.577894740000001</v>
      </c>
      <c r="K299" s="2">
        <v>636120</v>
      </c>
      <c r="L299" s="2">
        <v>5949437371610</v>
      </c>
      <c r="M299" s="2">
        <v>367965</v>
      </c>
      <c r="N299" s="2" t="s">
        <v>1649</v>
      </c>
      <c r="O299" s="2">
        <v>1.766E-5</v>
      </c>
      <c r="P299" s="2">
        <v>122085777</v>
      </c>
      <c r="Q299" s="2">
        <v>134</v>
      </c>
    </row>
    <row r="300" spans="1:17" x14ac:dyDescent="0.25">
      <c r="A300" s="1">
        <v>43310</v>
      </c>
      <c r="B300" s="2" t="s">
        <v>1650</v>
      </c>
      <c r="C300" s="2" t="s">
        <v>1651</v>
      </c>
      <c r="D300" s="2">
        <v>168237</v>
      </c>
      <c r="E300" s="2" t="s">
        <v>1652</v>
      </c>
      <c r="F300" s="2" t="s">
        <v>1653</v>
      </c>
      <c r="G300" s="2" t="s">
        <v>1654</v>
      </c>
      <c r="H300" s="2">
        <v>88271447949.899994</v>
      </c>
      <c r="I300" s="2">
        <v>2124.9998914500002</v>
      </c>
      <c r="J300" s="2">
        <v>15.67077716</v>
      </c>
      <c r="K300" s="2">
        <v>484547</v>
      </c>
      <c r="L300" s="2">
        <v>5595791656330</v>
      </c>
      <c r="M300" s="2">
        <v>301795</v>
      </c>
      <c r="N300" s="2" t="s">
        <v>1655</v>
      </c>
      <c r="O300" s="2">
        <v>1.2300000000000001E-5</v>
      </c>
      <c r="P300" s="2">
        <v>91684557</v>
      </c>
      <c r="Q300" s="2">
        <v>170</v>
      </c>
    </row>
    <row r="301" spans="1:17" x14ac:dyDescent="0.25">
      <c r="A301" s="1">
        <v>43309</v>
      </c>
      <c r="B301" s="2" t="s">
        <v>1656</v>
      </c>
      <c r="C301" s="2" t="s">
        <v>1657</v>
      </c>
      <c r="D301" s="2">
        <v>188093</v>
      </c>
      <c r="E301" s="2" t="s">
        <v>1658</v>
      </c>
      <c r="F301" s="2" t="s">
        <v>1659</v>
      </c>
      <c r="G301" s="2" t="s">
        <v>1660</v>
      </c>
      <c r="H301" s="2">
        <v>88181751870.899994</v>
      </c>
      <c r="I301" s="2">
        <v>1812.49999927</v>
      </c>
      <c r="J301" s="2">
        <v>16.748809980000001</v>
      </c>
      <c r="K301" s="2">
        <v>564178</v>
      </c>
      <c r="L301" s="2">
        <v>5178671069070</v>
      </c>
      <c r="M301" s="2">
        <v>305235</v>
      </c>
      <c r="N301" s="2" t="s">
        <v>1661</v>
      </c>
      <c r="O301" s="2">
        <v>1.3390000000000001E-5</v>
      </c>
      <c r="P301" s="2">
        <v>110061661</v>
      </c>
      <c r="Q301" s="2">
        <v>145</v>
      </c>
    </row>
    <row r="302" spans="1:17" x14ac:dyDescent="0.25">
      <c r="A302" s="1">
        <v>43308</v>
      </c>
      <c r="B302" s="2" t="s">
        <v>1662</v>
      </c>
      <c r="C302" s="2" t="s">
        <v>1663</v>
      </c>
      <c r="D302" s="2">
        <v>229230</v>
      </c>
      <c r="E302" s="2" t="s">
        <v>1664</v>
      </c>
      <c r="F302" s="2" t="s">
        <v>1665</v>
      </c>
      <c r="G302" s="2" t="s">
        <v>1666</v>
      </c>
      <c r="H302" s="2">
        <v>88126082578.199997</v>
      </c>
      <c r="I302" s="2">
        <v>2087.4999984699998</v>
      </c>
      <c r="J302" s="2">
        <v>20.724045719999999</v>
      </c>
      <c r="K302" s="2">
        <v>717598</v>
      </c>
      <c r="L302" s="2">
        <v>5178671069070</v>
      </c>
      <c r="M302" s="2">
        <v>418484</v>
      </c>
      <c r="N302" s="2" t="s">
        <v>1667</v>
      </c>
      <c r="O302" s="2">
        <v>1.1909999999999999E-5</v>
      </c>
      <c r="P302" s="2">
        <v>148008101</v>
      </c>
      <c r="Q302" s="2">
        <v>167</v>
      </c>
    </row>
    <row r="303" spans="1:17" x14ac:dyDescent="0.25">
      <c r="A303" s="1">
        <v>43307</v>
      </c>
      <c r="B303" s="2" t="s">
        <v>1668</v>
      </c>
      <c r="C303" s="2" t="s">
        <v>1669</v>
      </c>
      <c r="D303" s="2">
        <v>231514</v>
      </c>
      <c r="E303" s="2" t="s">
        <v>1670</v>
      </c>
      <c r="F303" s="2" t="s">
        <v>1671</v>
      </c>
      <c r="G303" s="2" t="s">
        <v>1672</v>
      </c>
      <c r="H303" s="2">
        <v>88038026229.5</v>
      </c>
      <c r="I303" s="2">
        <v>2062.5</v>
      </c>
      <c r="J303" s="2">
        <v>23.88022702</v>
      </c>
      <c r="K303" s="2">
        <v>639897</v>
      </c>
      <c r="L303" s="2">
        <v>5178671069070</v>
      </c>
      <c r="M303" s="2">
        <v>371182</v>
      </c>
      <c r="N303" s="2" t="s">
        <v>1673</v>
      </c>
      <c r="O303" s="2">
        <v>1.6200000000000001E-5</v>
      </c>
      <c r="P303" s="2">
        <v>127276200</v>
      </c>
      <c r="Q303" s="2">
        <v>165</v>
      </c>
    </row>
    <row r="304" spans="1:17" x14ac:dyDescent="0.25">
      <c r="A304" s="1">
        <v>43306</v>
      </c>
      <c r="B304" s="2" t="s">
        <v>1674</v>
      </c>
      <c r="C304" s="2" t="s">
        <v>1675</v>
      </c>
      <c r="D304" s="2">
        <v>250031</v>
      </c>
      <c r="E304" s="2" t="s">
        <v>1676</v>
      </c>
      <c r="F304" s="2" t="s">
        <v>1677</v>
      </c>
      <c r="G304" s="2" t="s">
        <v>1678</v>
      </c>
      <c r="H304" s="2">
        <v>88033516424.300003</v>
      </c>
      <c r="I304" s="2">
        <v>2212.4999992799999</v>
      </c>
      <c r="J304" s="2">
        <v>26.82417337</v>
      </c>
      <c r="K304" s="2">
        <v>776511</v>
      </c>
      <c r="L304" s="2">
        <v>5178671069070</v>
      </c>
      <c r="M304" s="2">
        <v>409243</v>
      </c>
      <c r="N304" s="2" t="s">
        <v>1679</v>
      </c>
      <c r="O304" s="2">
        <v>2.0100000000000001E-5</v>
      </c>
      <c r="P304" s="2">
        <v>170818185</v>
      </c>
      <c r="Q304" s="2">
        <v>177</v>
      </c>
    </row>
    <row r="305" spans="1:17" x14ac:dyDescent="0.25">
      <c r="A305" s="1">
        <v>43305</v>
      </c>
      <c r="B305" s="2" t="s">
        <v>1680</v>
      </c>
      <c r="C305" s="2" t="s">
        <v>1681</v>
      </c>
      <c r="D305" s="2">
        <v>259199</v>
      </c>
      <c r="E305" s="2" t="s">
        <v>1682</v>
      </c>
      <c r="F305" s="2" t="s">
        <v>1683</v>
      </c>
      <c r="G305" s="2" t="s">
        <v>1684</v>
      </c>
      <c r="H305" s="2">
        <v>87950861587.300003</v>
      </c>
      <c r="I305" s="2">
        <v>1987.4999992400001</v>
      </c>
      <c r="J305" s="2">
        <v>29.642950290000002</v>
      </c>
      <c r="K305" s="2">
        <v>718928</v>
      </c>
      <c r="L305" s="2">
        <v>5178671069070</v>
      </c>
      <c r="M305" s="2">
        <v>406479</v>
      </c>
      <c r="N305" s="2" t="s">
        <v>1685</v>
      </c>
      <c r="O305" s="2">
        <v>1.9320000000000001E-5</v>
      </c>
      <c r="P305" s="2">
        <v>145872253</v>
      </c>
      <c r="Q305" s="2">
        <v>159</v>
      </c>
    </row>
    <row r="306" spans="1:17" x14ac:dyDescent="0.25">
      <c r="A306" s="1">
        <v>43304</v>
      </c>
      <c r="B306" s="2" t="s">
        <v>1686</v>
      </c>
      <c r="C306" s="2" t="s">
        <v>1687</v>
      </c>
      <c r="D306" s="2">
        <v>229314</v>
      </c>
      <c r="E306" s="2" t="s">
        <v>1688</v>
      </c>
      <c r="F306" s="2" t="s">
        <v>1689</v>
      </c>
      <c r="G306" s="2" t="s">
        <v>1690</v>
      </c>
      <c r="H306" s="2">
        <v>87751043651.100006</v>
      </c>
      <c r="I306" s="2">
        <v>2075</v>
      </c>
      <c r="J306" s="2">
        <v>26.12072165</v>
      </c>
      <c r="K306" s="2">
        <v>711253</v>
      </c>
      <c r="L306" s="2">
        <v>5178671069070</v>
      </c>
      <c r="M306" s="2">
        <v>356168</v>
      </c>
      <c r="N306" s="2" t="s">
        <v>1691</v>
      </c>
      <c r="O306" s="2">
        <v>2.0000000000000002E-5</v>
      </c>
      <c r="P306" s="2">
        <v>147749615</v>
      </c>
      <c r="Q306" s="2">
        <v>166</v>
      </c>
    </row>
    <row r="307" spans="1:17" x14ac:dyDescent="0.25">
      <c r="A307" s="1">
        <v>43303</v>
      </c>
      <c r="B307" s="2" t="s">
        <v>1692</v>
      </c>
      <c r="C307" s="2" t="s">
        <v>1693</v>
      </c>
      <c r="D307" s="2">
        <v>166947</v>
      </c>
      <c r="E307" s="2" t="s">
        <v>1694</v>
      </c>
      <c r="F307" s="2" t="s">
        <v>1695</v>
      </c>
      <c r="G307" s="2" t="s">
        <v>1696</v>
      </c>
      <c r="H307" s="2">
        <v>87652370112.699997</v>
      </c>
      <c r="I307" s="2">
        <v>2275</v>
      </c>
      <c r="J307" s="2">
        <v>14.772318820000001</v>
      </c>
      <c r="K307" s="2">
        <v>458207</v>
      </c>
      <c r="L307" s="2">
        <v>5178671069070</v>
      </c>
      <c r="M307" s="2">
        <v>280340</v>
      </c>
      <c r="N307" s="2" t="s">
        <v>1697</v>
      </c>
      <c r="O307" s="2">
        <v>1.3730000000000001E-5</v>
      </c>
      <c r="P307" s="2">
        <v>82135273</v>
      </c>
      <c r="Q307" s="2">
        <v>182</v>
      </c>
    </row>
    <row r="308" spans="1:17" x14ac:dyDescent="0.25">
      <c r="A308" s="1">
        <v>43302</v>
      </c>
      <c r="B308" s="2" t="s">
        <v>1698</v>
      </c>
      <c r="C308" s="2" t="s">
        <v>1699</v>
      </c>
      <c r="D308" s="2">
        <v>184666</v>
      </c>
      <c r="E308" s="2" t="s">
        <v>1700</v>
      </c>
      <c r="F308" s="2" t="s">
        <v>1701</v>
      </c>
      <c r="G308" s="2" t="s">
        <v>1702</v>
      </c>
      <c r="H308" s="2">
        <v>87619862758.399994</v>
      </c>
      <c r="I308" s="2">
        <v>1712.5</v>
      </c>
      <c r="J308" s="2">
        <v>17.37819099</v>
      </c>
      <c r="K308" s="2">
        <v>505481</v>
      </c>
      <c r="L308" s="2">
        <v>5178671069070</v>
      </c>
      <c r="M308" s="2">
        <v>298834</v>
      </c>
      <c r="N308" s="2" t="s">
        <v>1703</v>
      </c>
      <c r="O308" s="2">
        <v>1.7240000000000001E-5</v>
      </c>
      <c r="P308" s="2">
        <v>98056548</v>
      </c>
      <c r="Q308" s="2">
        <v>137</v>
      </c>
    </row>
    <row r="309" spans="1:17" x14ac:dyDescent="0.25">
      <c r="A309" s="1">
        <v>43301</v>
      </c>
      <c r="B309" s="2" t="s">
        <v>1704</v>
      </c>
      <c r="C309" s="2" t="s">
        <v>1705</v>
      </c>
      <c r="D309" s="2">
        <v>225375</v>
      </c>
      <c r="E309" s="2" t="s">
        <v>1706</v>
      </c>
      <c r="F309" s="2" t="s">
        <v>1707</v>
      </c>
      <c r="G309" s="2" t="s">
        <v>1708</v>
      </c>
      <c r="H309" s="2">
        <v>87575209699.600006</v>
      </c>
      <c r="I309" s="2">
        <v>1925</v>
      </c>
      <c r="J309" s="2">
        <v>23.08779797</v>
      </c>
      <c r="K309" s="2">
        <v>651803</v>
      </c>
      <c r="L309" s="2">
        <v>5178671069070</v>
      </c>
      <c r="M309" s="2">
        <v>390930</v>
      </c>
      <c r="N309" s="2" t="s">
        <v>1709</v>
      </c>
      <c r="O309" s="2">
        <v>2.2399999999999999E-5</v>
      </c>
      <c r="P309" s="2">
        <v>125555080</v>
      </c>
      <c r="Q309" s="2">
        <v>154</v>
      </c>
    </row>
    <row r="310" spans="1:17" x14ac:dyDescent="0.25">
      <c r="A310" s="1">
        <v>43300</v>
      </c>
      <c r="B310" s="2" t="s">
        <v>1710</v>
      </c>
      <c r="C310" s="2" t="s">
        <v>1711</v>
      </c>
      <c r="D310" s="2">
        <v>224868</v>
      </c>
      <c r="E310" s="2" t="s">
        <v>1712</v>
      </c>
      <c r="F310" s="2" t="s">
        <v>1713</v>
      </c>
      <c r="G310" s="2" t="s">
        <v>1714</v>
      </c>
      <c r="H310" s="2">
        <v>87552360940.800003</v>
      </c>
      <c r="I310" s="2">
        <v>2137.4999993000001</v>
      </c>
      <c r="J310" s="2">
        <v>28.82741906</v>
      </c>
      <c r="K310" s="2">
        <v>636864</v>
      </c>
      <c r="L310" s="2">
        <v>5178671069070</v>
      </c>
      <c r="M310" s="2">
        <v>356263</v>
      </c>
      <c r="N310" s="2" t="s">
        <v>1715</v>
      </c>
      <c r="O310" s="2">
        <v>2.5899999999999999E-5</v>
      </c>
      <c r="P310" s="2">
        <v>125621525</v>
      </c>
      <c r="Q310" s="2">
        <v>171</v>
      </c>
    </row>
    <row r="311" spans="1:17" x14ac:dyDescent="0.25">
      <c r="A311" s="1">
        <v>43299</v>
      </c>
      <c r="B311" s="2" t="s">
        <v>1716</v>
      </c>
      <c r="C311" s="2" t="s">
        <v>1717</v>
      </c>
      <c r="D311" s="2">
        <v>238595</v>
      </c>
      <c r="E311" s="2" t="s">
        <v>1718</v>
      </c>
      <c r="F311" s="2" t="s">
        <v>1719</v>
      </c>
      <c r="G311" s="2" t="s">
        <v>1720</v>
      </c>
      <c r="H311" s="2">
        <v>87479235263</v>
      </c>
      <c r="I311" s="2">
        <v>2174.9999985300001</v>
      </c>
      <c r="J311" s="2">
        <v>31.826684749999998</v>
      </c>
      <c r="K311" s="2">
        <v>770835</v>
      </c>
      <c r="L311" s="2">
        <v>5178671069070</v>
      </c>
      <c r="M311" s="2">
        <v>377654</v>
      </c>
      <c r="N311" s="2" t="s">
        <v>1721</v>
      </c>
      <c r="O311" s="2">
        <v>3.0729999999999999E-5</v>
      </c>
      <c r="P311" s="2">
        <v>182086519</v>
      </c>
      <c r="Q311" s="2">
        <v>174</v>
      </c>
    </row>
    <row r="312" spans="1:17" x14ac:dyDescent="0.25">
      <c r="A312" s="1">
        <v>43298</v>
      </c>
      <c r="B312" s="2" t="s">
        <v>1722</v>
      </c>
      <c r="C312" s="2" t="s">
        <v>1723</v>
      </c>
      <c r="D312" s="2">
        <v>233807</v>
      </c>
      <c r="E312" s="2" t="s">
        <v>1724</v>
      </c>
      <c r="F312" s="2" t="s">
        <v>1725</v>
      </c>
      <c r="G312" s="2" t="s">
        <v>1726</v>
      </c>
      <c r="H312" s="2">
        <v>87437929992.5</v>
      </c>
      <c r="I312" s="2">
        <v>1987.5</v>
      </c>
      <c r="J312" s="2">
        <v>24.942096660000001</v>
      </c>
      <c r="K312" s="2">
        <v>688584</v>
      </c>
      <c r="L312" s="2">
        <v>5199615302180</v>
      </c>
      <c r="M312" s="2">
        <v>369601</v>
      </c>
      <c r="N312" s="2" t="s">
        <v>1727</v>
      </c>
      <c r="O312" s="2">
        <v>2.016E-5</v>
      </c>
      <c r="P312" s="2">
        <v>144584350</v>
      </c>
      <c r="Q312" s="2">
        <v>159</v>
      </c>
    </row>
    <row r="313" spans="1:17" x14ac:dyDescent="0.25">
      <c r="A313" s="1">
        <v>43297</v>
      </c>
      <c r="B313" s="2" t="s">
        <v>1728</v>
      </c>
      <c r="C313" s="2" t="s">
        <v>1729</v>
      </c>
      <c r="D313" s="2">
        <v>207722</v>
      </c>
      <c r="E313" s="2" t="s">
        <v>1730</v>
      </c>
      <c r="F313" s="2" t="s">
        <v>1731</v>
      </c>
      <c r="G313" s="2" t="s">
        <v>1732</v>
      </c>
      <c r="H313" s="2">
        <v>87300503144.5</v>
      </c>
      <c r="I313" s="2">
        <v>1500</v>
      </c>
      <c r="J313" s="2">
        <v>23.612925690000001</v>
      </c>
      <c r="K313" s="2">
        <v>583692</v>
      </c>
      <c r="L313" s="2">
        <v>5363678461480</v>
      </c>
      <c r="M313" s="2">
        <v>328693</v>
      </c>
      <c r="N313" s="2" t="s">
        <v>1733</v>
      </c>
      <c r="O313" s="2">
        <v>2.1529999999999999E-5</v>
      </c>
      <c r="P313" s="2">
        <v>111456899</v>
      </c>
      <c r="Q313" s="2">
        <v>120</v>
      </c>
    </row>
    <row r="314" spans="1:17" x14ac:dyDescent="0.25">
      <c r="A314" s="1">
        <v>43296</v>
      </c>
      <c r="B314" s="2" t="s">
        <v>1734</v>
      </c>
      <c r="C314" s="2" t="s">
        <v>1735</v>
      </c>
      <c r="D314" s="2">
        <v>161018</v>
      </c>
      <c r="E314" s="2" t="s">
        <v>1736</v>
      </c>
      <c r="F314" s="2" t="s">
        <v>1737</v>
      </c>
      <c r="G314" s="2" t="s">
        <v>1738</v>
      </c>
      <c r="H314" s="2">
        <v>87263533017.899994</v>
      </c>
      <c r="I314" s="2">
        <v>1662.5</v>
      </c>
      <c r="J314" s="2">
        <v>15.278216560000001</v>
      </c>
      <c r="K314" s="2">
        <v>509930</v>
      </c>
      <c r="L314" s="2">
        <v>5363678461480</v>
      </c>
      <c r="M314" s="2">
        <v>265588</v>
      </c>
      <c r="N314" s="2" t="s">
        <v>1739</v>
      </c>
      <c r="O314" s="2">
        <v>1.8510000000000001E-5</v>
      </c>
      <c r="P314" s="2">
        <v>102934830</v>
      </c>
      <c r="Q314" s="2">
        <v>133</v>
      </c>
    </row>
    <row r="315" spans="1:17" x14ac:dyDescent="0.25">
      <c r="A315" s="1">
        <v>43295</v>
      </c>
      <c r="B315" s="2" t="s">
        <v>1740</v>
      </c>
      <c r="C315" s="2" t="s">
        <v>1741</v>
      </c>
      <c r="D315" s="2">
        <v>176342</v>
      </c>
      <c r="E315" s="2" t="s">
        <v>1742</v>
      </c>
      <c r="F315" s="2" t="s">
        <v>1743</v>
      </c>
      <c r="G315" s="2" t="s">
        <v>1744</v>
      </c>
      <c r="H315" s="2">
        <v>87255892993.5</v>
      </c>
      <c r="I315" s="2">
        <v>1662.5</v>
      </c>
      <c r="J315" s="2">
        <v>15.01264127</v>
      </c>
      <c r="K315" s="2">
        <v>809623</v>
      </c>
      <c r="L315" s="2">
        <v>5363678461480</v>
      </c>
      <c r="M315" s="2">
        <v>277214</v>
      </c>
      <c r="N315" s="2" t="s">
        <v>1745</v>
      </c>
      <c r="O315" s="2">
        <v>1.517E-5</v>
      </c>
      <c r="P315" s="2">
        <v>154212147</v>
      </c>
      <c r="Q315" s="2">
        <v>133</v>
      </c>
    </row>
    <row r="316" spans="1:17" x14ac:dyDescent="0.25">
      <c r="A316" s="1">
        <v>43294</v>
      </c>
      <c r="B316" s="2" t="s">
        <v>1746</v>
      </c>
      <c r="C316" s="2" t="s">
        <v>1747</v>
      </c>
      <c r="D316" s="2">
        <v>207761</v>
      </c>
      <c r="E316" s="2" t="s">
        <v>1748</v>
      </c>
      <c r="F316" s="2" t="s">
        <v>1749</v>
      </c>
      <c r="G316" s="2" t="s">
        <v>1750</v>
      </c>
      <c r="H316" s="2">
        <v>87278085647.5</v>
      </c>
      <c r="I316" s="2">
        <v>1787.5</v>
      </c>
      <c r="J316" s="2">
        <v>19.535141530000001</v>
      </c>
      <c r="K316" s="2">
        <v>933538</v>
      </c>
      <c r="L316" s="2">
        <v>5363678461480</v>
      </c>
      <c r="M316" s="2">
        <v>371436</v>
      </c>
      <c r="N316" s="2" t="s">
        <v>1751</v>
      </c>
      <c r="O316" s="2">
        <v>1.8130000000000001E-5</v>
      </c>
      <c r="P316" s="2">
        <v>159235177</v>
      </c>
      <c r="Q316" s="2">
        <v>143</v>
      </c>
    </row>
    <row r="317" spans="1:17" x14ac:dyDescent="0.25">
      <c r="A317" s="1">
        <v>43293</v>
      </c>
      <c r="B317" s="2" t="s">
        <v>1752</v>
      </c>
      <c r="C317" s="2" t="s">
        <v>1753</v>
      </c>
      <c r="D317" s="2">
        <v>203394</v>
      </c>
      <c r="E317" s="2" t="s">
        <v>1754</v>
      </c>
      <c r="F317" s="2" t="s">
        <v>1755</v>
      </c>
      <c r="G317" s="2" t="s">
        <v>1756</v>
      </c>
      <c r="H317" s="2">
        <v>87366844654.699997</v>
      </c>
      <c r="I317" s="2">
        <v>1762.5</v>
      </c>
      <c r="J317" s="2">
        <v>18.633212369999999</v>
      </c>
      <c r="K317" s="2">
        <v>944272</v>
      </c>
      <c r="L317" s="2">
        <v>5363678461480</v>
      </c>
      <c r="M317" s="2">
        <v>304588</v>
      </c>
      <c r="N317" s="2" t="s">
        <v>1757</v>
      </c>
      <c r="O317" s="2">
        <v>1.8600000000000001E-5</v>
      </c>
      <c r="P317" s="2">
        <v>166261487</v>
      </c>
      <c r="Q317" s="2">
        <v>141</v>
      </c>
    </row>
    <row r="318" spans="1:17" x14ac:dyDescent="0.25">
      <c r="A318" s="1">
        <v>43292</v>
      </c>
      <c r="B318" s="2" t="s">
        <v>1758</v>
      </c>
      <c r="C318" s="2" t="s">
        <v>1759</v>
      </c>
      <c r="D318" s="2">
        <v>202468</v>
      </c>
      <c r="E318" s="2" t="s">
        <v>1760</v>
      </c>
      <c r="F318" s="2" t="s">
        <v>1761</v>
      </c>
      <c r="G318" s="2" t="s">
        <v>1762</v>
      </c>
      <c r="H318" s="2">
        <v>87452945049.600006</v>
      </c>
      <c r="I318" s="2">
        <v>1687.5</v>
      </c>
      <c r="J318" s="2">
        <v>20.44250057</v>
      </c>
      <c r="K318" s="2">
        <v>616214</v>
      </c>
      <c r="L318" s="2">
        <v>5363678461480</v>
      </c>
      <c r="M318" s="2">
        <v>313756</v>
      </c>
      <c r="N318" s="2" t="s">
        <v>1763</v>
      </c>
      <c r="O318" s="2">
        <v>1.808E-5</v>
      </c>
      <c r="P318" s="2">
        <v>135889955</v>
      </c>
      <c r="Q318" s="2">
        <v>135</v>
      </c>
    </row>
    <row r="319" spans="1:17" x14ac:dyDescent="0.25">
      <c r="A319" s="1">
        <v>43291</v>
      </c>
      <c r="B319" s="2" t="s">
        <v>1764</v>
      </c>
      <c r="C319" s="2" t="s">
        <v>1765</v>
      </c>
      <c r="D319" s="2">
        <v>215914</v>
      </c>
      <c r="E319" s="2" t="s">
        <v>1766</v>
      </c>
      <c r="F319" s="2" t="s">
        <v>1767</v>
      </c>
      <c r="G319" s="2" t="s">
        <v>1768</v>
      </c>
      <c r="H319" s="2">
        <v>87510047553.699997</v>
      </c>
      <c r="I319" s="2">
        <v>1862.49994597</v>
      </c>
      <c r="J319" s="2">
        <v>22.860714009999999</v>
      </c>
      <c r="K319" s="2">
        <v>666042</v>
      </c>
      <c r="L319" s="2">
        <v>5363678461480</v>
      </c>
      <c r="M319" s="2">
        <v>339389</v>
      </c>
      <c r="N319" s="2" t="s">
        <v>1769</v>
      </c>
      <c r="O319" s="2">
        <v>1.694E-5</v>
      </c>
      <c r="P319" s="2">
        <v>144752096</v>
      </c>
      <c r="Q319" s="2">
        <v>149</v>
      </c>
    </row>
    <row r="320" spans="1:17" x14ac:dyDescent="0.25">
      <c r="A320" s="1">
        <v>43290</v>
      </c>
      <c r="B320" s="2" t="s">
        <v>1770</v>
      </c>
      <c r="C320" s="2" t="s">
        <v>1771</v>
      </c>
      <c r="D320" s="2">
        <v>206410</v>
      </c>
      <c r="E320" s="2" t="s">
        <v>1772</v>
      </c>
      <c r="F320" s="2" t="s">
        <v>1773</v>
      </c>
      <c r="G320" s="2" t="s">
        <v>1774</v>
      </c>
      <c r="H320" s="2">
        <v>87597986955.699997</v>
      </c>
      <c r="I320" s="2">
        <v>1699.9999992099999</v>
      </c>
      <c r="J320" s="2">
        <v>19.926065269999999</v>
      </c>
      <c r="K320" s="2">
        <v>627020</v>
      </c>
      <c r="L320" s="2">
        <v>5363678461480</v>
      </c>
      <c r="M320" s="2">
        <v>322535</v>
      </c>
      <c r="N320" s="2" t="s">
        <v>1775</v>
      </c>
      <c r="O320" s="2">
        <v>1.5999999999999999E-5</v>
      </c>
      <c r="P320" s="2">
        <v>144216488</v>
      </c>
      <c r="Q320" s="2">
        <v>136</v>
      </c>
    </row>
    <row r="321" spans="1:17" x14ac:dyDescent="0.25">
      <c r="A321" s="1">
        <v>43289</v>
      </c>
      <c r="B321" s="2" t="s">
        <v>1776</v>
      </c>
      <c r="C321" s="2" t="s">
        <v>1777</v>
      </c>
      <c r="D321" s="2">
        <v>155527</v>
      </c>
      <c r="E321" s="2" t="s">
        <v>1778</v>
      </c>
      <c r="F321" s="2" t="s">
        <v>1779</v>
      </c>
      <c r="G321" s="2" t="s">
        <v>1780</v>
      </c>
      <c r="H321" s="2">
        <v>87611251674</v>
      </c>
      <c r="I321" s="2">
        <v>1975</v>
      </c>
      <c r="J321" s="2">
        <v>15.644799170000001</v>
      </c>
      <c r="K321" s="2">
        <v>492262</v>
      </c>
      <c r="L321" s="2">
        <v>5363678461480</v>
      </c>
      <c r="M321" s="2">
        <v>274916</v>
      </c>
      <c r="N321" s="2" t="s">
        <v>1781</v>
      </c>
      <c r="O321" s="2">
        <v>1.29E-5</v>
      </c>
      <c r="P321" s="2">
        <v>93569107</v>
      </c>
      <c r="Q321" s="2">
        <v>158</v>
      </c>
    </row>
    <row r="322" spans="1:17" x14ac:dyDescent="0.25">
      <c r="A322" s="1">
        <v>43288</v>
      </c>
      <c r="B322" s="2" t="s">
        <v>1782</v>
      </c>
      <c r="C322" s="2" t="s">
        <v>1783</v>
      </c>
      <c r="D322" s="2">
        <v>170004</v>
      </c>
      <c r="E322" s="2" t="s">
        <v>1784</v>
      </c>
      <c r="F322" s="2" t="s">
        <v>1785</v>
      </c>
      <c r="G322" s="2" t="s">
        <v>1786</v>
      </c>
      <c r="H322" s="2">
        <v>87689099007.899994</v>
      </c>
      <c r="I322" s="2">
        <v>1950</v>
      </c>
      <c r="J322" s="2">
        <v>16.56969368</v>
      </c>
      <c r="K322" s="2">
        <v>473901</v>
      </c>
      <c r="L322" s="2">
        <v>5363678461480</v>
      </c>
      <c r="M322" s="2">
        <v>277763</v>
      </c>
      <c r="N322" s="2" t="s">
        <v>1787</v>
      </c>
      <c r="O322" s="2">
        <v>1.3560000000000001E-5</v>
      </c>
      <c r="P322" s="2">
        <v>83804769</v>
      </c>
      <c r="Q322" s="2">
        <v>156</v>
      </c>
    </row>
    <row r="323" spans="1:17" x14ac:dyDescent="0.25">
      <c r="A323" s="1">
        <v>43287</v>
      </c>
      <c r="B323" s="2" t="s">
        <v>1788</v>
      </c>
      <c r="C323" s="2" t="s">
        <v>1789</v>
      </c>
      <c r="D323" s="2">
        <v>200833</v>
      </c>
      <c r="E323" s="2" t="s">
        <v>1790</v>
      </c>
      <c r="F323" s="2" t="s">
        <v>1791</v>
      </c>
      <c r="G323" s="2" t="s">
        <v>1792</v>
      </c>
      <c r="H323" s="2">
        <v>87675967609.800003</v>
      </c>
      <c r="I323" s="2">
        <v>1999.9999462200001</v>
      </c>
      <c r="J323" s="2">
        <v>21.702819739999999</v>
      </c>
      <c r="K323" s="2">
        <v>647794</v>
      </c>
      <c r="L323" s="2">
        <v>5363678461480</v>
      </c>
      <c r="M323" s="2">
        <v>432381</v>
      </c>
      <c r="N323" s="2" t="s">
        <v>1793</v>
      </c>
      <c r="O323" s="2">
        <v>1.5119999999999999E-5</v>
      </c>
      <c r="P323" s="2">
        <v>109673373</v>
      </c>
      <c r="Q323" s="2">
        <v>160</v>
      </c>
    </row>
    <row r="324" spans="1:17" x14ac:dyDescent="0.25">
      <c r="A324" s="1">
        <v>43286</v>
      </c>
      <c r="B324" s="2" t="s">
        <v>1794</v>
      </c>
      <c r="C324" s="2" t="s">
        <v>1795</v>
      </c>
      <c r="D324" s="2">
        <v>199463</v>
      </c>
      <c r="E324" s="2" t="s">
        <v>1796</v>
      </c>
      <c r="F324" s="2" t="s">
        <v>1797</v>
      </c>
      <c r="G324" s="2" t="s">
        <v>1798</v>
      </c>
      <c r="H324" s="2">
        <v>87737303729.699997</v>
      </c>
      <c r="I324" s="2">
        <v>1712.49999927</v>
      </c>
      <c r="J324" s="2">
        <v>19.766005190000001</v>
      </c>
      <c r="K324" s="2">
        <v>545559</v>
      </c>
      <c r="L324" s="2">
        <v>5363678461480</v>
      </c>
      <c r="M324" s="2">
        <v>319874</v>
      </c>
      <c r="N324" s="2" t="s">
        <v>1799</v>
      </c>
      <c r="O324" s="2">
        <v>1.6990000000000002E-5</v>
      </c>
      <c r="P324" s="2">
        <v>107373506</v>
      </c>
      <c r="Q324" s="2">
        <v>137</v>
      </c>
    </row>
    <row r="325" spans="1:17" x14ac:dyDescent="0.25">
      <c r="A325" s="1">
        <v>43285</v>
      </c>
      <c r="B325" s="2" t="s">
        <v>1800</v>
      </c>
      <c r="C325" s="2" t="s">
        <v>1801</v>
      </c>
      <c r="D325" s="2">
        <v>206654</v>
      </c>
      <c r="E325" s="2" t="s">
        <v>1802</v>
      </c>
      <c r="F325" s="2" t="s">
        <v>1803</v>
      </c>
      <c r="G325" s="2" t="s">
        <v>1804</v>
      </c>
      <c r="H325" s="2">
        <v>87759319272.5</v>
      </c>
      <c r="I325" s="2">
        <v>1674.99994556</v>
      </c>
      <c r="J325" s="2">
        <v>21.54452916</v>
      </c>
      <c r="K325" s="2">
        <v>609579</v>
      </c>
      <c r="L325" s="2">
        <v>5363678461480</v>
      </c>
      <c r="M325" s="2">
        <v>336379</v>
      </c>
      <c r="N325" s="2" t="s">
        <v>1805</v>
      </c>
      <c r="O325" s="2">
        <v>1.8700000000000001E-5</v>
      </c>
      <c r="P325" s="2">
        <v>125337300</v>
      </c>
      <c r="Q325" s="2">
        <v>134</v>
      </c>
    </row>
    <row r="326" spans="1:17" x14ac:dyDescent="0.25">
      <c r="A326" s="1">
        <v>43284</v>
      </c>
      <c r="B326" s="2" t="s">
        <v>1806</v>
      </c>
      <c r="C326" s="2" t="s">
        <v>1807</v>
      </c>
      <c r="D326" s="2">
        <v>216631</v>
      </c>
      <c r="E326" s="2" t="s">
        <v>1808</v>
      </c>
      <c r="F326" s="2" t="s">
        <v>1809</v>
      </c>
      <c r="G326" s="2" t="s">
        <v>1810</v>
      </c>
      <c r="H326" s="2">
        <v>87736429526.5</v>
      </c>
      <c r="I326" s="2">
        <v>1449.9999992200001</v>
      </c>
      <c r="J326" s="2">
        <v>27.902597719999999</v>
      </c>
      <c r="K326" s="2">
        <v>659326</v>
      </c>
      <c r="L326" s="2">
        <v>5363678461480</v>
      </c>
      <c r="M326" s="2">
        <v>344382</v>
      </c>
      <c r="N326" s="2" t="s">
        <v>1811</v>
      </c>
      <c r="O326" s="2">
        <v>2.26E-5</v>
      </c>
      <c r="P326" s="2">
        <v>129202773</v>
      </c>
      <c r="Q326" s="2">
        <v>116</v>
      </c>
    </row>
    <row r="327" spans="1:17" x14ac:dyDescent="0.25">
      <c r="A327" s="1">
        <v>43283</v>
      </c>
      <c r="B327" s="2" t="s">
        <v>1812</v>
      </c>
      <c r="C327" s="2" t="s">
        <v>1813</v>
      </c>
      <c r="D327" s="2">
        <v>199153</v>
      </c>
      <c r="E327" s="2" t="s">
        <v>1814</v>
      </c>
      <c r="F327" s="2" t="s">
        <v>1815</v>
      </c>
      <c r="G327" s="2" t="s">
        <v>1816</v>
      </c>
      <c r="H327" s="2">
        <v>87789569983.899994</v>
      </c>
      <c r="I327" s="2">
        <v>1762.5</v>
      </c>
      <c r="J327" s="2">
        <v>23.480637649999998</v>
      </c>
      <c r="K327" s="2">
        <v>638283</v>
      </c>
      <c r="L327" s="2">
        <v>5172892177080</v>
      </c>
      <c r="M327" s="2">
        <v>336826</v>
      </c>
      <c r="N327" s="2" t="s">
        <v>1817</v>
      </c>
      <c r="O327" s="2">
        <v>1.7280000000000001E-5</v>
      </c>
      <c r="P327" s="2">
        <v>139244571</v>
      </c>
      <c r="Q327" s="2">
        <v>141</v>
      </c>
    </row>
    <row r="328" spans="1:17" x14ac:dyDescent="0.25">
      <c r="A328" s="1">
        <v>43282</v>
      </c>
      <c r="B328" s="2" t="s">
        <v>1818</v>
      </c>
      <c r="C328" s="2" t="s">
        <v>1819</v>
      </c>
      <c r="D328" s="2">
        <v>156100</v>
      </c>
      <c r="E328" s="2" t="s">
        <v>1820</v>
      </c>
      <c r="F328" s="2" t="s">
        <v>1821</v>
      </c>
      <c r="G328" s="2" t="s">
        <v>1822</v>
      </c>
      <c r="H328" s="2">
        <v>87754542515.800003</v>
      </c>
      <c r="I328" s="2">
        <v>1837.49999923</v>
      </c>
      <c r="J328" s="2">
        <v>16.792889599999999</v>
      </c>
      <c r="K328" s="2">
        <v>483872</v>
      </c>
      <c r="L328" s="2">
        <v>5077499034880</v>
      </c>
      <c r="M328" s="2">
        <v>269207</v>
      </c>
      <c r="N328" s="2" t="s">
        <v>1823</v>
      </c>
      <c r="O328" s="2">
        <v>1.3560000000000001E-5</v>
      </c>
      <c r="P328" s="2">
        <v>103677842</v>
      </c>
      <c r="Q328" s="2">
        <v>147</v>
      </c>
    </row>
    <row r="329" spans="1:17" x14ac:dyDescent="0.25">
      <c r="A329" s="1">
        <v>43281</v>
      </c>
      <c r="B329" s="2" t="s">
        <v>1824</v>
      </c>
      <c r="C329" s="2" t="s">
        <v>1825</v>
      </c>
      <c r="D329" s="2">
        <v>180924</v>
      </c>
      <c r="E329" s="2" t="s">
        <v>1826</v>
      </c>
      <c r="F329" s="2" t="s">
        <v>1827</v>
      </c>
      <c r="G329" s="2" t="s">
        <v>1828</v>
      </c>
      <c r="H329" s="2">
        <v>87950574142.199997</v>
      </c>
      <c r="I329" s="2">
        <v>1762.4999992600001</v>
      </c>
      <c r="J329" s="2">
        <v>23.604097589999999</v>
      </c>
      <c r="K329" s="2">
        <v>567603</v>
      </c>
      <c r="L329" s="2">
        <v>5077499034880</v>
      </c>
      <c r="M329" s="2">
        <v>277981</v>
      </c>
      <c r="N329" s="2" t="s">
        <v>1829</v>
      </c>
      <c r="O329" s="2">
        <v>1.5119999999999999E-5</v>
      </c>
      <c r="P329" s="2">
        <v>139214958</v>
      </c>
      <c r="Q329" s="2">
        <v>141</v>
      </c>
    </row>
    <row r="330" spans="1:17" x14ac:dyDescent="0.25">
      <c r="A330" s="1">
        <v>43280</v>
      </c>
      <c r="B330" s="2" t="s">
        <v>1830</v>
      </c>
      <c r="C330" s="2" t="s">
        <v>1831</v>
      </c>
      <c r="D330" s="2">
        <v>197730</v>
      </c>
      <c r="E330" s="2" t="s">
        <v>1832</v>
      </c>
      <c r="F330" s="2" t="s">
        <v>1833</v>
      </c>
      <c r="G330" s="2" t="s">
        <v>1834</v>
      </c>
      <c r="H330" s="2">
        <v>87947905656.300003</v>
      </c>
      <c r="I330" s="2">
        <v>1887.5</v>
      </c>
      <c r="J330" s="2">
        <v>27.410636270000001</v>
      </c>
      <c r="K330" s="2">
        <v>589876</v>
      </c>
      <c r="L330" s="2">
        <v>5077499034880</v>
      </c>
      <c r="M330" s="2">
        <v>355271</v>
      </c>
      <c r="N330" s="2" t="s">
        <v>1835</v>
      </c>
      <c r="O330" s="2">
        <v>1.5119999999999999E-5</v>
      </c>
      <c r="P330" s="2">
        <v>112723508</v>
      </c>
      <c r="Q330" s="2">
        <v>151</v>
      </c>
    </row>
    <row r="331" spans="1:17" x14ac:dyDescent="0.25">
      <c r="A331" s="1">
        <v>43279</v>
      </c>
      <c r="B331" s="2" t="s">
        <v>1836</v>
      </c>
      <c r="C331" s="2" t="s">
        <v>1837</v>
      </c>
      <c r="D331" s="2">
        <v>187467</v>
      </c>
      <c r="E331" s="2" t="s">
        <v>1838</v>
      </c>
      <c r="F331" s="2" t="s">
        <v>1839</v>
      </c>
      <c r="G331" s="2" t="s">
        <v>1840</v>
      </c>
      <c r="H331" s="2">
        <v>87958090795.199997</v>
      </c>
      <c r="I331" s="2">
        <v>1962.5</v>
      </c>
      <c r="J331" s="2">
        <v>27.159256460000002</v>
      </c>
      <c r="K331" s="2">
        <v>555077</v>
      </c>
      <c r="L331" s="2">
        <v>5077499034880</v>
      </c>
      <c r="M331" s="2">
        <v>300659</v>
      </c>
      <c r="N331" s="2" t="s">
        <v>1841</v>
      </c>
      <c r="O331" s="2">
        <v>2.0339999999999998E-5</v>
      </c>
      <c r="P331" s="2">
        <v>108240442</v>
      </c>
      <c r="Q331" s="2">
        <v>157</v>
      </c>
    </row>
    <row r="332" spans="1:17" x14ac:dyDescent="0.25">
      <c r="A332" s="1">
        <v>43278</v>
      </c>
      <c r="B332" s="2" t="s">
        <v>1842</v>
      </c>
      <c r="C332" s="2" t="s">
        <v>1843</v>
      </c>
      <c r="D332" s="2">
        <v>188389</v>
      </c>
      <c r="E332" s="2" t="s">
        <v>1844</v>
      </c>
      <c r="F332" s="2" t="s">
        <v>1845</v>
      </c>
      <c r="G332" s="2" t="s">
        <v>1846</v>
      </c>
      <c r="H332" s="2">
        <v>88112470261.5</v>
      </c>
      <c r="I332" s="2">
        <v>1512.5</v>
      </c>
      <c r="J332" s="2">
        <v>32.158860490000002</v>
      </c>
      <c r="K332" s="2">
        <v>589279</v>
      </c>
      <c r="L332" s="2">
        <v>5077499034880</v>
      </c>
      <c r="M332" s="2">
        <v>300383</v>
      </c>
      <c r="N332" s="2" t="s">
        <v>1847</v>
      </c>
      <c r="O332" s="2">
        <v>2.7630000000000001E-5</v>
      </c>
      <c r="P332" s="2">
        <v>131653212</v>
      </c>
      <c r="Q332" s="2">
        <v>121</v>
      </c>
    </row>
    <row r="333" spans="1:17" x14ac:dyDescent="0.25">
      <c r="A333" s="1">
        <v>43277</v>
      </c>
      <c r="B333" s="2" t="s">
        <v>1848</v>
      </c>
      <c r="C333" s="2" t="s">
        <v>1849</v>
      </c>
      <c r="D333" s="2">
        <v>195258</v>
      </c>
      <c r="E333" s="2" t="s">
        <v>1850</v>
      </c>
      <c r="F333" s="2" t="s">
        <v>1851</v>
      </c>
      <c r="G333" s="2" t="s">
        <v>1852</v>
      </c>
      <c r="H333" s="2">
        <v>88832958338.399994</v>
      </c>
      <c r="I333" s="2">
        <v>1825</v>
      </c>
      <c r="J333" s="2">
        <v>32.343846640000002</v>
      </c>
      <c r="K333" s="2">
        <v>612977</v>
      </c>
      <c r="L333" s="2">
        <v>5077499034880</v>
      </c>
      <c r="M333" s="2">
        <v>311474</v>
      </c>
      <c r="N333" s="2" t="s">
        <v>1853</v>
      </c>
      <c r="O333" s="2">
        <v>1.8700000000000001E-5</v>
      </c>
      <c r="P333" s="2">
        <v>155868381</v>
      </c>
      <c r="Q333" s="2">
        <v>146</v>
      </c>
    </row>
    <row r="334" spans="1:17" x14ac:dyDescent="0.25">
      <c r="A334" s="1">
        <v>43276</v>
      </c>
      <c r="B334" s="2" t="s">
        <v>1854</v>
      </c>
      <c r="C334" s="2" t="s">
        <v>1855</v>
      </c>
      <c r="D334" s="2">
        <v>200016</v>
      </c>
      <c r="E334" s="2" t="s">
        <v>1856</v>
      </c>
      <c r="F334" s="2" t="s">
        <v>1857</v>
      </c>
      <c r="G334" s="2" t="s">
        <v>1858</v>
      </c>
      <c r="H334" s="2">
        <v>88908522112</v>
      </c>
      <c r="I334" s="2">
        <v>1962.5</v>
      </c>
      <c r="J334" s="2">
        <v>34.680136529999999</v>
      </c>
      <c r="K334" s="2">
        <v>614032</v>
      </c>
      <c r="L334" s="2">
        <v>5077499034880</v>
      </c>
      <c r="M334" s="2">
        <v>315301</v>
      </c>
      <c r="N334" s="2" t="s">
        <v>1859</v>
      </c>
      <c r="O334" s="2">
        <v>2.0950000000000001E-5</v>
      </c>
      <c r="P334" s="2">
        <v>144588810</v>
      </c>
      <c r="Q334" s="2">
        <v>157</v>
      </c>
    </row>
    <row r="335" spans="1:17" x14ac:dyDescent="0.25">
      <c r="A335" s="1">
        <v>43275</v>
      </c>
      <c r="B335" s="2" t="s">
        <v>1860</v>
      </c>
      <c r="C335" s="2" t="s">
        <v>1861</v>
      </c>
      <c r="D335" s="2">
        <v>157851</v>
      </c>
      <c r="E335" s="2" t="s">
        <v>1862</v>
      </c>
      <c r="F335" s="2" t="s">
        <v>1863</v>
      </c>
      <c r="G335" s="2" t="s">
        <v>1864</v>
      </c>
      <c r="H335" s="2">
        <v>88957873924.199997</v>
      </c>
      <c r="I335" s="2">
        <v>2137.4999992799999</v>
      </c>
      <c r="J335" s="2">
        <v>27.030858169999998</v>
      </c>
      <c r="K335" s="2">
        <v>456995</v>
      </c>
      <c r="L335" s="2">
        <v>5077499034880</v>
      </c>
      <c r="M335" s="2">
        <v>273997</v>
      </c>
      <c r="N335" s="2" t="s">
        <v>1865</v>
      </c>
      <c r="O335" s="2">
        <v>1.6200000000000001E-5</v>
      </c>
      <c r="P335" s="2">
        <v>82890016</v>
      </c>
      <c r="Q335" s="2">
        <v>171</v>
      </c>
    </row>
    <row r="336" spans="1:17" x14ac:dyDescent="0.25">
      <c r="A336" s="1">
        <v>43274</v>
      </c>
      <c r="B336" s="2" t="s">
        <v>1866</v>
      </c>
      <c r="C336" s="2" t="s">
        <v>1867</v>
      </c>
      <c r="D336" s="2">
        <v>163135</v>
      </c>
      <c r="E336" s="2" t="s">
        <v>1868</v>
      </c>
      <c r="F336" s="2" t="s">
        <v>1869</v>
      </c>
      <c r="G336" s="2" t="s">
        <v>1870</v>
      </c>
      <c r="H336" s="2">
        <v>89028742926.699997</v>
      </c>
      <c r="I336" s="2">
        <v>2000</v>
      </c>
      <c r="J336" s="2">
        <v>31.937984740000001</v>
      </c>
      <c r="K336" s="2">
        <v>483230</v>
      </c>
      <c r="L336" s="2">
        <v>5077499034880</v>
      </c>
      <c r="M336" s="2">
        <v>288670</v>
      </c>
      <c r="N336" s="2" t="s">
        <v>1871</v>
      </c>
      <c r="O336" s="2">
        <v>3.9839999999999998E-5</v>
      </c>
      <c r="P336" s="2">
        <v>85507627</v>
      </c>
      <c r="Q336" s="2">
        <v>160</v>
      </c>
    </row>
    <row r="337" spans="1:17" x14ac:dyDescent="0.25">
      <c r="A337" s="1">
        <v>43273</v>
      </c>
      <c r="B337" s="2" t="s">
        <v>1872</v>
      </c>
      <c r="C337" s="2" t="s">
        <v>1873</v>
      </c>
      <c r="D337" s="2">
        <v>203993</v>
      </c>
      <c r="E337" s="2" t="s">
        <v>1874</v>
      </c>
      <c r="F337" s="2" t="s">
        <v>1875</v>
      </c>
      <c r="G337" s="2" t="s">
        <v>1876</v>
      </c>
      <c r="H337" s="2">
        <v>89074559162.699997</v>
      </c>
      <c r="I337" s="2">
        <v>1887.5</v>
      </c>
      <c r="J337" s="2">
        <v>68.9368202</v>
      </c>
      <c r="K337" s="2">
        <v>618791</v>
      </c>
      <c r="L337" s="2">
        <v>5077499034880</v>
      </c>
      <c r="M337" s="2">
        <v>373827</v>
      </c>
      <c r="N337" s="2" t="s">
        <v>1877</v>
      </c>
      <c r="O337" s="2">
        <v>1.6704E-4</v>
      </c>
      <c r="P337" s="2">
        <v>120086025</v>
      </c>
      <c r="Q337" s="2">
        <v>151</v>
      </c>
    </row>
    <row r="338" spans="1:17" x14ac:dyDescent="0.25">
      <c r="A338" s="1">
        <v>43272</v>
      </c>
      <c r="B338" s="2" t="s">
        <v>1878</v>
      </c>
      <c r="C338" s="2" t="s">
        <v>1879</v>
      </c>
      <c r="D338" s="2">
        <v>197943</v>
      </c>
      <c r="E338" s="2" t="s">
        <v>1880</v>
      </c>
      <c r="F338" s="2" t="s">
        <v>1881</v>
      </c>
      <c r="G338" s="2" t="s">
        <v>1882</v>
      </c>
      <c r="H338" s="2">
        <v>89281151965.600006</v>
      </c>
      <c r="I338" s="2">
        <v>2124.99999927</v>
      </c>
      <c r="J338" s="2">
        <v>73.520122060000006</v>
      </c>
      <c r="K338" s="2">
        <v>562602</v>
      </c>
      <c r="L338" s="2">
        <v>5077499034880</v>
      </c>
      <c r="M338" s="2">
        <v>322510</v>
      </c>
      <c r="N338" s="2" t="s">
        <v>1883</v>
      </c>
      <c r="O338" s="2">
        <v>2.13E-4</v>
      </c>
      <c r="P338" s="2">
        <v>104846383</v>
      </c>
      <c r="Q338" s="2">
        <v>170</v>
      </c>
    </row>
    <row r="339" spans="1:17" x14ac:dyDescent="0.25">
      <c r="A339" s="1">
        <v>43271</v>
      </c>
      <c r="B339" s="2" t="s">
        <v>1884</v>
      </c>
      <c r="C339" s="2" t="s">
        <v>1885</v>
      </c>
      <c r="D339" s="2">
        <v>198734</v>
      </c>
      <c r="E339" s="2" t="s">
        <v>1886</v>
      </c>
      <c r="F339" s="2" t="s">
        <v>1887</v>
      </c>
      <c r="G339" s="2" t="s">
        <v>1888</v>
      </c>
      <c r="H339" s="2">
        <v>89250536822.699997</v>
      </c>
      <c r="I339" s="2">
        <v>1937.4999992099999</v>
      </c>
      <c r="J339" s="2">
        <v>203.28532024</v>
      </c>
      <c r="K339" s="2">
        <v>585078</v>
      </c>
      <c r="L339" s="2">
        <v>5077499034880</v>
      </c>
      <c r="M339" s="2">
        <v>325100</v>
      </c>
      <c r="N339" s="2" t="s">
        <v>1889</v>
      </c>
      <c r="O339" s="2">
        <v>3.1391999999999998E-4</v>
      </c>
      <c r="P339" s="2">
        <v>167090040</v>
      </c>
      <c r="Q339" s="2">
        <v>155</v>
      </c>
    </row>
    <row r="340" spans="1:17" x14ac:dyDescent="0.25">
      <c r="A340" s="1">
        <v>43270</v>
      </c>
      <c r="B340" s="2" t="s">
        <v>1890</v>
      </c>
      <c r="C340" s="2" t="s">
        <v>1891</v>
      </c>
      <c r="D340" s="2">
        <v>191650</v>
      </c>
      <c r="E340" s="2" t="s">
        <v>1892</v>
      </c>
      <c r="F340" s="2" t="s">
        <v>1893</v>
      </c>
      <c r="G340" s="2" t="s">
        <v>1894</v>
      </c>
      <c r="H340" s="2">
        <v>89284076521.600006</v>
      </c>
      <c r="I340" s="2">
        <v>1937.4999992600001</v>
      </c>
      <c r="J340" s="2">
        <v>83.808653890000002</v>
      </c>
      <c r="K340" s="2">
        <v>621857</v>
      </c>
      <c r="L340" s="2">
        <v>5024546460930</v>
      </c>
      <c r="M340" s="2">
        <v>316994</v>
      </c>
      <c r="N340" s="2" t="s">
        <v>1895</v>
      </c>
      <c r="O340" s="2">
        <v>2.563E-5</v>
      </c>
      <c r="P340" s="2">
        <v>140836733</v>
      </c>
      <c r="Q340" s="2">
        <v>155</v>
      </c>
    </row>
    <row r="341" spans="1:17" x14ac:dyDescent="0.25">
      <c r="A341" s="1">
        <v>43269</v>
      </c>
      <c r="B341" s="2" t="s">
        <v>1896</v>
      </c>
      <c r="C341" s="2" t="s">
        <v>1897</v>
      </c>
      <c r="D341" s="2">
        <v>196141</v>
      </c>
      <c r="E341" s="2" t="s">
        <v>1898</v>
      </c>
      <c r="F341" s="2" t="s">
        <v>1899</v>
      </c>
      <c r="G341" s="2" t="s">
        <v>1900</v>
      </c>
      <c r="H341" s="2">
        <v>89314354280.899994</v>
      </c>
      <c r="I341" s="2">
        <v>2050</v>
      </c>
      <c r="J341" s="2">
        <v>17.522911910000001</v>
      </c>
      <c r="K341" s="2">
        <v>574922</v>
      </c>
      <c r="L341" s="2">
        <v>4940704885520</v>
      </c>
      <c r="M341" s="2">
        <v>322249</v>
      </c>
      <c r="N341" s="2" t="s">
        <v>1901</v>
      </c>
      <c r="O341" s="2">
        <v>1.3560000000000001E-5</v>
      </c>
      <c r="P341" s="2">
        <v>106388062</v>
      </c>
      <c r="Q341" s="2">
        <v>164</v>
      </c>
    </row>
    <row r="342" spans="1:17" x14ac:dyDescent="0.25">
      <c r="A342" s="1">
        <v>43268</v>
      </c>
      <c r="B342" s="2" t="s">
        <v>1902</v>
      </c>
      <c r="C342" s="2" t="s">
        <v>1903</v>
      </c>
      <c r="D342" s="2">
        <v>144751</v>
      </c>
      <c r="E342" s="2" t="s">
        <v>1904</v>
      </c>
      <c r="F342" s="2" t="s">
        <v>1905</v>
      </c>
      <c r="G342" s="2" t="s">
        <v>1906</v>
      </c>
      <c r="H342" s="2">
        <v>89338286199.399994</v>
      </c>
      <c r="I342" s="2">
        <v>1962.4999992400001</v>
      </c>
      <c r="J342" s="2">
        <v>23.489020289999999</v>
      </c>
      <c r="K342" s="2">
        <v>436137</v>
      </c>
      <c r="L342" s="2">
        <v>4940704885520</v>
      </c>
      <c r="M342" s="2">
        <v>252845</v>
      </c>
      <c r="N342" s="2" t="s">
        <v>1907</v>
      </c>
      <c r="O342" s="2">
        <v>1.454E-5</v>
      </c>
      <c r="P342" s="2">
        <v>77083902</v>
      </c>
      <c r="Q342" s="2">
        <v>157</v>
      </c>
    </row>
    <row r="343" spans="1:17" x14ac:dyDescent="0.25">
      <c r="A343" s="1">
        <v>43267</v>
      </c>
      <c r="B343" s="2" t="s">
        <v>1908</v>
      </c>
      <c r="C343" s="2" t="s">
        <v>1909</v>
      </c>
      <c r="D343" s="2">
        <v>158924</v>
      </c>
      <c r="E343" s="2" t="s">
        <v>1910</v>
      </c>
      <c r="F343" s="2" t="s">
        <v>1911</v>
      </c>
      <c r="G343" s="2" t="s">
        <v>1912</v>
      </c>
      <c r="H343" s="2">
        <v>89377979481.399994</v>
      </c>
      <c r="I343" s="2">
        <v>2075</v>
      </c>
      <c r="J343" s="2">
        <v>16.44224754</v>
      </c>
      <c r="K343" s="2">
        <v>442345</v>
      </c>
      <c r="L343" s="2">
        <v>4940704885520</v>
      </c>
      <c r="M343" s="2">
        <v>264540</v>
      </c>
      <c r="N343" s="2" t="s">
        <v>1913</v>
      </c>
      <c r="O343" s="2">
        <v>1.8830000000000001E-5</v>
      </c>
      <c r="P343" s="2">
        <v>78657265</v>
      </c>
      <c r="Q343" s="2">
        <v>166</v>
      </c>
    </row>
    <row r="344" spans="1:17" x14ac:dyDescent="0.25">
      <c r="A344" s="1">
        <v>43266</v>
      </c>
      <c r="B344" s="2" t="s">
        <v>1914</v>
      </c>
      <c r="C344" s="2" t="s">
        <v>1915</v>
      </c>
      <c r="D344" s="2">
        <v>205708</v>
      </c>
      <c r="E344" s="2" t="s">
        <v>1916</v>
      </c>
      <c r="F344" s="2" t="s">
        <v>1917</v>
      </c>
      <c r="G344" s="2" t="s">
        <v>1918</v>
      </c>
      <c r="H344" s="2">
        <v>89391393374.800003</v>
      </c>
      <c r="I344" s="2">
        <v>1912.49999854</v>
      </c>
      <c r="J344" s="2">
        <v>23.194532949999999</v>
      </c>
      <c r="K344" s="2">
        <v>629466</v>
      </c>
      <c r="L344" s="2">
        <v>4940704885520</v>
      </c>
      <c r="M344" s="2">
        <v>377094</v>
      </c>
      <c r="N344" s="2" t="s">
        <v>1919</v>
      </c>
      <c r="O344" s="2">
        <v>3.5070000000000001E-5</v>
      </c>
      <c r="P344" s="2">
        <v>122606017</v>
      </c>
      <c r="Q344" s="2">
        <v>153</v>
      </c>
    </row>
    <row r="345" spans="1:17" x14ac:dyDescent="0.25">
      <c r="A345" s="1">
        <v>43265</v>
      </c>
      <c r="B345" s="2" t="s">
        <v>1920</v>
      </c>
      <c r="C345" s="2" t="s">
        <v>1921</v>
      </c>
      <c r="D345" s="2">
        <v>209876</v>
      </c>
      <c r="E345" s="2" t="s">
        <v>1922</v>
      </c>
      <c r="F345" s="2" t="s">
        <v>1923</v>
      </c>
      <c r="G345" s="2" t="s">
        <v>1924</v>
      </c>
      <c r="H345" s="2">
        <v>89499968443.100006</v>
      </c>
      <c r="I345" s="2">
        <v>1912.4999992400001</v>
      </c>
      <c r="J345" s="2">
        <v>28.01723114</v>
      </c>
      <c r="K345" s="2">
        <v>583318</v>
      </c>
      <c r="L345" s="2">
        <v>4940704885520</v>
      </c>
      <c r="M345" s="2">
        <v>335212</v>
      </c>
      <c r="N345" s="2" t="s">
        <v>1925</v>
      </c>
      <c r="O345" s="2">
        <v>4.5259999999999997E-5</v>
      </c>
      <c r="P345" s="2">
        <v>113813956</v>
      </c>
      <c r="Q345" s="2">
        <v>153</v>
      </c>
    </row>
    <row r="346" spans="1:17" x14ac:dyDescent="0.25">
      <c r="A346" s="1">
        <v>43264</v>
      </c>
      <c r="B346" s="2" t="s">
        <v>1926</v>
      </c>
      <c r="C346" s="2" t="s">
        <v>1927</v>
      </c>
      <c r="D346" s="2">
        <v>211686</v>
      </c>
      <c r="E346" s="2" t="s">
        <v>1928</v>
      </c>
      <c r="F346" s="2" t="s">
        <v>1929</v>
      </c>
      <c r="G346" s="2" t="s">
        <v>1930</v>
      </c>
      <c r="H346" s="2">
        <v>89540830623.800003</v>
      </c>
      <c r="I346" s="2">
        <v>1787.4999992</v>
      </c>
      <c r="J346" s="2">
        <v>37.414231809999997</v>
      </c>
      <c r="K346" s="2">
        <v>658357</v>
      </c>
      <c r="L346" s="2">
        <v>4940704885520</v>
      </c>
      <c r="M346" s="2">
        <v>355490</v>
      </c>
      <c r="N346" s="2" t="s">
        <v>1931</v>
      </c>
      <c r="O346" s="2">
        <v>4.5200000000000001E-5</v>
      </c>
      <c r="P346" s="2">
        <v>130566188</v>
      </c>
      <c r="Q346" s="2">
        <v>143</v>
      </c>
    </row>
    <row r="347" spans="1:17" x14ac:dyDescent="0.25">
      <c r="A347" s="1">
        <v>43263</v>
      </c>
      <c r="B347" s="2" t="s">
        <v>1932</v>
      </c>
      <c r="C347" s="2" t="s">
        <v>1933</v>
      </c>
      <c r="D347" s="2">
        <v>214450</v>
      </c>
      <c r="E347" s="2" t="s">
        <v>1934</v>
      </c>
      <c r="F347" s="2" t="s">
        <v>1935</v>
      </c>
      <c r="G347" s="2" t="s">
        <v>1936</v>
      </c>
      <c r="H347" s="2">
        <v>89845842251</v>
      </c>
      <c r="I347" s="2">
        <v>1812.5</v>
      </c>
      <c r="J347" s="2">
        <v>21.90653344</v>
      </c>
      <c r="K347" s="2">
        <v>654022</v>
      </c>
      <c r="L347" s="2">
        <v>4940704885520</v>
      </c>
      <c r="M347" s="2">
        <v>340711</v>
      </c>
      <c r="N347" s="2" t="s">
        <v>1937</v>
      </c>
      <c r="O347" s="2">
        <v>2.0339999999999998E-5</v>
      </c>
      <c r="P347" s="2">
        <v>151515066</v>
      </c>
      <c r="Q347" s="2">
        <v>145</v>
      </c>
    </row>
    <row r="348" spans="1:17" x14ac:dyDescent="0.25">
      <c r="A348" s="1">
        <v>43262</v>
      </c>
      <c r="B348" s="2" t="s">
        <v>1938</v>
      </c>
      <c r="C348" s="2" t="s">
        <v>1939</v>
      </c>
      <c r="D348" s="2">
        <v>213056</v>
      </c>
      <c r="E348" s="2" t="s">
        <v>1940</v>
      </c>
      <c r="F348" s="2" t="s">
        <v>1941</v>
      </c>
      <c r="G348" s="2" t="s">
        <v>1942</v>
      </c>
      <c r="H348" s="2">
        <v>89995341825.699997</v>
      </c>
      <c r="I348" s="2">
        <v>1749.99999927</v>
      </c>
      <c r="J348" s="2">
        <v>24.671018969999999</v>
      </c>
      <c r="K348" s="2">
        <v>587881</v>
      </c>
      <c r="L348" s="2">
        <v>4940704885520</v>
      </c>
      <c r="M348" s="2">
        <v>343971</v>
      </c>
      <c r="N348" s="2" t="s">
        <v>1943</v>
      </c>
      <c r="O348" s="2">
        <v>2.26E-5</v>
      </c>
      <c r="P348" s="2">
        <v>111030586</v>
      </c>
      <c r="Q348" s="2">
        <v>140</v>
      </c>
    </row>
    <row r="349" spans="1:17" x14ac:dyDescent="0.25">
      <c r="A349" s="1">
        <v>43261</v>
      </c>
      <c r="B349" s="2" t="s">
        <v>1944</v>
      </c>
      <c r="C349" s="2" t="s">
        <v>1945</v>
      </c>
      <c r="D349" s="2">
        <v>179682</v>
      </c>
      <c r="E349" s="2" t="s">
        <v>1946</v>
      </c>
      <c r="F349" s="2" t="s">
        <v>1947</v>
      </c>
      <c r="G349" s="2" t="s">
        <v>1948</v>
      </c>
      <c r="H349" s="2">
        <v>90132710460.699997</v>
      </c>
      <c r="I349" s="2">
        <v>1587.5</v>
      </c>
      <c r="J349" s="2">
        <v>16.7009531</v>
      </c>
      <c r="K349" s="2">
        <v>529728</v>
      </c>
      <c r="L349" s="2">
        <v>4940704885520</v>
      </c>
      <c r="M349" s="2">
        <v>307675</v>
      </c>
      <c r="N349" s="2" t="s">
        <v>1949</v>
      </c>
      <c r="O349" s="2">
        <v>1.5119999999999999E-5</v>
      </c>
      <c r="P349" s="2">
        <v>96426965</v>
      </c>
      <c r="Q349" s="2">
        <v>127</v>
      </c>
    </row>
    <row r="350" spans="1:17" x14ac:dyDescent="0.25">
      <c r="A350" s="1">
        <v>43260</v>
      </c>
      <c r="B350" s="2" t="s">
        <v>1950</v>
      </c>
      <c r="C350" s="2" t="s">
        <v>1951</v>
      </c>
      <c r="D350" s="2">
        <v>171163</v>
      </c>
      <c r="E350" s="2" t="s">
        <v>1952</v>
      </c>
      <c r="F350" s="2" t="s">
        <v>1953</v>
      </c>
      <c r="G350" s="2" t="s">
        <v>1954</v>
      </c>
      <c r="H350" s="2">
        <v>90354543742</v>
      </c>
      <c r="I350" s="2">
        <v>1787.49999929</v>
      </c>
      <c r="J350" s="2">
        <v>18.707367099999999</v>
      </c>
      <c r="K350" s="2">
        <v>492526</v>
      </c>
      <c r="L350" s="2">
        <v>4940704885520</v>
      </c>
      <c r="M350" s="2">
        <v>282421</v>
      </c>
      <c r="N350" s="2" t="s">
        <v>1955</v>
      </c>
      <c r="O350" s="2">
        <v>1.3560000000000001E-5</v>
      </c>
      <c r="P350" s="2">
        <v>90222292</v>
      </c>
      <c r="Q350" s="2">
        <v>143</v>
      </c>
    </row>
    <row r="351" spans="1:17" x14ac:dyDescent="0.25">
      <c r="A351" s="1">
        <v>43259</v>
      </c>
      <c r="B351" s="2" t="s">
        <v>1956</v>
      </c>
      <c r="C351" s="2" t="s">
        <v>1957</v>
      </c>
      <c r="D351" s="2">
        <v>200234</v>
      </c>
      <c r="E351" s="2" t="s">
        <v>1958</v>
      </c>
      <c r="F351" s="2" t="s">
        <v>1959</v>
      </c>
      <c r="G351" s="2" t="s">
        <v>1960</v>
      </c>
      <c r="H351" s="2">
        <v>90392710796.399994</v>
      </c>
      <c r="I351" s="2">
        <v>1806.25</v>
      </c>
      <c r="J351" s="2">
        <v>17.89042019</v>
      </c>
      <c r="K351" s="2">
        <v>648973</v>
      </c>
      <c r="L351" s="2">
        <v>4940704885520</v>
      </c>
      <c r="M351" s="2">
        <v>378684</v>
      </c>
      <c r="N351" s="2" t="s">
        <v>1961</v>
      </c>
      <c r="O351" s="2">
        <v>1.8130000000000001E-5</v>
      </c>
      <c r="P351" s="2">
        <v>130088648</v>
      </c>
      <c r="Q351" s="2">
        <v>145</v>
      </c>
    </row>
    <row r="352" spans="1:17" x14ac:dyDescent="0.25">
      <c r="A352" s="1">
        <v>43258</v>
      </c>
      <c r="B352" s="2" t="s">
        <v>1962</v>
      </c>
      <c r="C352" s="2" t="s">
        <v>1963</v>
      </c>
      <c r="D352" s="2">
        <v>207484</v>
      </c>
      <c r="E352" s="2" t="s">
        <v>1964</v>
      </c>
      <c r="F352" s="2" t="s">
        <v>1965</v>
      </c>
      <c r="G352" s="2" t="s">
        <v>1966</v>
      </c>
      <c r="H352" s="2">
        <v>90436579110.300003</v>
      </c>
      <c r="I352" s="2">
        <v>1787.5</v>
      </c>
      <c r="J352" s="2">
        <v>20.669936499999999</v>
      </c>
      <c r="K352" s="2">
        <v>634103</v>
      </c>
      <c r="L352" s="2">
        <v>4940704885520</v>
      </c>
      <c r="M352" s="2">
        <v>329925</v>
      </c>
      <c r="N352" s="2" t="s">
        <v>1967</v>
      </c>
      <c r="O352" s="2">
        <v>2.26E-5</v>
      </c>
      <c r="P352" s="2">
        <v>154799429</v>
      </c>
      <c r="Q352" s="2">
        <v>143</v>
      </c>
    </row>
    <row r="353" spans="1:17" x14ac:dyDescent="0.25">
      <c r="A353" s="1">
        <v>43257</v>
      </c>
      <c r="B353" s="2" t="s">
        <v>1968</v>
      </c>
      <c r="C353" s="2" t="s">
        <v>1969</v>
      </c>
      <c r="D353" s="2">
        <v>206270</v>
      </c>
      <c r="E353" s="2" t="s">
        <v>1970</v>
      </c>
      <c r="F353" s="2" t="s">
        <v>1971</v>
      </c>
      <c r="G353" s="2" t="s">
        <v>1972</v>
      </c>
      <c r="H353" s="2">
        <v>90444668652.800003</v>
      </c>
      <c r="I353" s="2">
        <v>1837.49999923</v>
      </c>
      <c r="J353" s="2">
        <v>19.4579716</v>
      </c>
      <c r="K353" s="2">
        <v>651145</v>
      </c>
      <c r="L353" s="2">
        <v>4940704885520</v>
      </c>
      <c r="M353" s="2">
        <v>346669</v>
      </c>
      <c r="N353" s="2" t="s">
        <v>1973</v>
      </c>
      <c r="O353" s="2">
        <v>2.016E-5</v>
      </c>
      <c r="P353" s="2">
        <v>145777397</v>
      </c>
      <c r="Q353" s="2">
        <v>147</v>
      </c>
    </row>
    <row r="354" spans="1:17" x14ac:dyDescent="0.25">
      <c r="A354" s="1">
        <v>43256</v>
      </c>
      <c r="B354" s="2" t="s">
        <v>1974</v>
      </c>
      <c r="C354" s="2" t="s">
        <v>1975</v>
      </c>
      <c r="D354" s="2">
        <v>212726</v>
      </c>
      <c r="E354" s="2" t="s">
        <v>1976</v>
      </c>
      <c r="F354" s="2" t="s">
        <v>1977</v>
      </c>
      <c r="G354" s="2" t="s">
        <v>1978</v>
      </c>
      <c r="H354" s="2">
        <v>90444088411.100006</v>
      </c>
      <c r="I354" s="2">
        <v>2187.5</v>
      </c>
      <c r="J354" s="2">
        <v>18.52827963</v>
      </c>
      <c r="K354" s="2">
        <v>655694</v>
      </c>
      <c r="L354" s="2">
        <v>4415593341670</v>
      </c>
      <c r="M354" s="2">
        <v>348466</v>
      </c>
      <c r="N354" s="2" t="s">
        <v>1979</v>
      </c>
      <c r="O354" s="2">
        <v>1.5310000000000001E-5</v>
      </c>
      <c r="P354" s="2">
        <v>148483910</v>
      </c>
      <c r="Q354" s="2">
        <v>175</v>
      </c>
    </row>
    <row r="355" spans="1:17" x14ac:dyDescent="0.25">
      <c r="A355" s="1">
        <v>43255</v>
      </c>
      <c r="B355" s="2" t="s">
        <v>1980</v>
      </c>
      <c r="C355" s="2" t="s">
        <v>1981</v>
      </c>
      <c r="D355" s="2">
        <v>209733</v>
      </c>
      <c r="E355" s="2" t="s">
        <v>1982</v>
      </c>
      <c r="F355" s="2" t="s">
        <v>1983</v>
      </c>
      <c r="G355" s="2" t="s">
        <v>1984</v>
      </c>
      <c r="H355" s="2">
        <v>90479520012.199997</v>
      </c>
      <c r="I355" s="2">
        <v>2287.5</v>
      </c>
      <c r="J355" s="2">
        <v>20.710752719999999</v>
      </c>
      <c r="K355" s="2">
        <v>702904</v>
      </c>
      <c r="L355" s="2">
        <v>4306949573980</v>
      </c>
      <c r="M355" s="2">
        <v>341314</v>
      </c>
      <c r="N355" s="2" t="s">
        <v>1985</v>
      </c>
      <c r="O355" s="2">
        <v>1.3730000000000001E-5</v>
      </c>
      <c r="P355" s="2">
        <v>193228304</v>
      </c>
      <c r="Q355" s="2">
        <v>183</v>
      </c>
    </row>
    <row r="356" spans="1:17" x14ac:dyDescent="0.25">
      <c r="A356" s="1">
        <v>43254</v>
      </c>
      <c r="B356" s="2" t="s">
        <v>1986</v>
      </c>
      <c r="C356" s="2" t="s">
        <v>1987</v>
      </c>
      <c r="D356" s="2">
        <v>163280</v>
      </c>
      <c r="E356" s="2" t="s">
        <v>1988</v>
      </c>
      <c r="F356" s="2" t="s">
        <v>1989</v>
      </c>
      <c r="G356" s="2" t="s">
        <v>1990</v>
      </c>
      <c r="H356" s="2">
        <v>90523369955.800003</v>
      </c>
      <c r="I356" s="2">
        <v>2037.5</v>
      </c>
      <c r="J356" s="2">
        <v>15.307403799999999</v>
      </c>
      <c r="K356" s="2">
        <v>531463</v>
      </c>
      <c r="L356" s="2">
        <v>4306949573980</v>
      </c>
      <c r="M356" s="2">
        <v>285966</v>
      </c>
      <c r="N356" s="2" t="s">
        <v>1991</v>
      </c>
      <c r="O356" s="2">
        <v>1.3560000000000001E-5</v>
      </c>
      <c r="P356" s="2">
        <v>125719349</v>
      </c>
      <c r="Q356" s="2">
        <v>163</v>
      </c>
    </row>
    <row r="357" spans="1:17" x14ac:dyDescent="0.25">
      <c r="A357" s="1">
        <v>43253</v>
      </c>
      <c r="B357" s="2" t="s">
        <v>1992</v>
      </c>
      <c r="C357" s="2" t="s">
        <v>1993</v>
      </c>
      <c r="D357" s="2">
        <v>174345</v>
      </c>
      <c r="E357" s="2" t="s">
        <v>1994</v>
      </c>
      <c r="F357" s="2" t="s">
        <v>1995</v>
      </c>
      <c r="G357" s="2" t="s">
        <v>1996</v>
      </c>
      <c r="H357" s="2">
        <v>90494443652.100006</v>
      </c>
      <c r="I357" s="2">
        <v>1900</v>
      </c>
      <c r="J357" s="2">
        <v>16.27842016</v>
      </c>
      <c r="K357" s="2">
        <v>521910</v>
      </c>
      <c r="L357" s="2">
        <v>4306949573980</v>
      </c>
      <c r="M357" s="2">
        <v>295695</v>
      </c>
      <c r="N357" s="2" t="s">
        <v>1997</v>
      </c>
      <c r="O357" s="2">
        <v>1.5119999999999999E-5</v>
      </c>
      <c r="P357" s="2">
        <v>94687900</v>
      </c>
      <c r="Q357" s="2">
        <v>152</v>
      </c>
    </row>
    <row r="358" spans="1:17" x14ac:dyDescent="0.25">
      <c r="A358" s="1">
        <v>43252</v>
      </c>
      <c r="B358" s="2" t="s">
        <v>1998</v>
      </c>
      <c r="C358" s="2" t="s">
        <v>1999</v>
      </c>
      <c r="D358" s="2">
        <v>205315</v>
      </c>
      <c r="E358" s="2" t="s">
        <v>2000</v>
      </c>
      <c r="F358" s="2" t="s">
        <v>2001</v>
      </c>
      <c r="G358" s="2" t="s">
        <v>2002</v>
      </c>
      <c r="H358" s="2">
        <v>90479579059.600006</v>
      </c>
      <c r="I358" s="2">
        <v>2075</v>
      </c>
      <c r="J358" s="2">
        <v>20.374766359999999</v>
      </c>
      <c r="K358" s="2">
        <v>692509</v>
      </c>
      <c r="L358" s="2">
        <v>4306949573980</v>
      </c>
      <c r="M358" s="2">
        <v>447360</v>
      </c>
      <c r="N358" s="2" t="s">
        <v>2003</v>
      </c>
      <c r="O358" s="2">
        <v>2.0000000000000002E-5</v>
      </c>
      <c r="P358" s="2">
        <v>119837904</v>
      </c>
      <c r="Q358" s="2">
        <v>166</v>
      </c>
    </row>
    <row r="359" spans="1:17" x14ac:dyDescent="0.25">
      <c r="A359" s="1">
        <v>43251</v>
      </c>
      <c r="B359" s="2" t="s">
        <v>2004</v>
      </c>
      <c r="C359" s="2" t="s">
        <v>2005</v>
      </c>
      <c r="D359" s="2">
        <v>209356</v>
      </c>
      <c r="E359" s="2" t="s">
        <v>2006</v>
      </c>
      <c r="F359" s="2" t="s">
        <v>2007</v>
      </c>
      <c r="G359" s="2" t="s">
        <v>2008</v>
      </c>
      <c r="H359" s="2">
        <v>90509344644.300003</v>
      </c>
      <c r="I359" s="2">
        <v>2125</v>
      </c>
      <c r="J359" s="2">
        <v>21.654142700000001</v>
      </c>
      <c r="K359" s="2">
        <v>627768</v>
      </c>
      <c r="L359" s="2">
        <v>4306949573980</v>
      </c>
      <c r="M359" s="2">
        <v>343836</v>
      </c>
      <c r="N359" s="2" t="s">
        <v>2009</v>
      </c>
      <c r="O359" s="2">
        <v>2.0630000000000001E-5</v>
      </c>
      <c r="P359" s="2">
        <v>120170201</v>
      </c>
      <c r="Q359" s="2">
        <v>170</v>
      </c>
    </row>
    <row r="360" spans="1:17" x14ac:dyDescent="0.25">
      <c r="A360" s="1">
        <v>43250</v>
      </c>
      <c r="B360" s="2" t="s">
        <v>2010</v>
      </c>
      <c r="C360" s="2" t="s">
        <v>2011</v>
      </c>
      <c r="D360" s="2">
        <v>203903</v>
      </c>
      <c r="E360" s="2" t="s">
        <v>2012</v>
      </c>
      <c r="F360" s="2" t="s">
        <v>2013</v>
      </c>
      <c r="G360" s="2" t="s">
        <v>2014</v>
      </c>
      <c r="H360" s="2">
        <v>90540833916.5</v>
      </c>
      <c r="I360" s="2">
        <v>2175</v>
      </c>
      <c r="J360" s="2">
        <v>22.662137919999999</v>
      </c>
      <c r="K360" s="2">
        <v>592865</v>
      </c>
      <c r="L360" s="2">
        <v>4306949573980</v>
      </c>
      <c r="M360" s="2">
        <v>335898</v>
      </c>
      <c r="N360" s="2" t="s">
        <v>2015</v>
      </c>
      <c r="O360" s="2">
        <v>2.3859999999999999E-5</v>
      </c>
      <c r="P360" s="2">
        <v>108922274</v>
      </c>
      <c r="Q360" s="2">
        <v>174</v>
      </c>
    </row>
    <row r="361" spans="1:17" x14ac:dyDescent="0.25">
      <c r="A361" s="1">
        <v>43249</v>
      </c>
      <c r="B361" s="2" t="s">
        <v>2016</v>
      </c>
      <c r="C361" s="2" t="s">
        <v>2017</v>
      </c>
      <c r="D361" s="2">
        <v>204630</v>
      </c>
      <c r="E361" s="2" t="s">
        <v>2018</v>
      </c>
      <c r="F361" s="2" t="s">
        <v>2019</v>
      </c>
      <c r="G361" s="2" t="s">
        <v>2020</v>
      </c>
      <c r="H361" s="2">
        <v>90567741365.600006</v>
      </c>
      <c r="I361" s="2">
        <v>1737.5</v>
      </c>
      <c r="J361" s="2">
        <v>28.636842269999999</v>
      </c>
      <c r="K361" s="2">
        <v>604757</v>
      </c>
      <c r="L361" s="2">
        <v>4306949573980</v>
      </c>
      <c r="M361" s="2">
        <v>335112</v>
      </c>
      <c r="N361" s="2" t="s">
        <v>2021</v>
      </c>
      <c r="O361" s="2">
        <v>2.4300000000000001E-5</v>
      </c>
      <c r="P361" s="2">
        <v>115669312</v>
      </c>
      <c r="Q361" s="2">
        <v>139</v>
      </c>
    </row>
    <row r="362" spans="1:17" x14ac:dyDescent="0.25">
      <c r="A362" s="1">
        <v>43248</v>
      </c>
      <c r="B362" s="2" t="s">
        <v>2022</v>
      </c>
      <c r="C362" s="2" t="s">
        <v>2023</v>
      </c>
      <c r="D362" s="2">
        <v>188907</v>
      </c>
      <c r="E362" s="2" t="s">
        <v>2024</v>
      </c>
      <c r="F362" s="2" t="s">
        <v>2025</v>
      </c>
      <c r="G362" s="2" t="s">
        <v>2026</v>
      </c>
      <c r="H362" s="2">
        <v>90591414538.399994</v>
      </c>
      <c r="I362" s="2">
        <v>1950</v>
      </c>
      <c r="J362" s="2">
        <v>29.124009910000002</v>
      </c>
      <c r="K362" s="2">
        <v>589218</v>
      </c>
      <c r="L362" s="2">
        <v>4306949573980</v>
      </c>
      <c r="M362" s="2">
        <v>313132</v>
      </c>
      <c r="N362" s="2" t="s">
        <v>2027</v>
      </c>
      <c r="O362" s="2">
        <v>2.0429999999999999E-5</v>
      </c>
      <c r="P362" s="2">
        <v>110775774</v>
      </c>
      <c r="Q362" s="2">
        <v>156</v>
      </c>
    </row>
    <row r="363" spans="1:17" x14ac:dyDescent="0.25">
      <c r="A363" s="1">
        <v>43247</v>
      </c>
      <c r="B363" s="2" t="s">
        <v>2028</v>
      </c>
      <c r="C363" s="2" t="s">
        <v>2029</v>
      </c>
      <c r="D363" s="2">
        <v>144140</v>
      </c>
      <c r="E363" s="2" t="s">
        <v>2030</v>
      </c>
      <c r="F363" s="2" t="s">
        <v>2031</v>
      </c>
      <c r="G363" s="2" t="s">
        <v>2032</v>
      </c>
      <c r="H363" s="2">
        <v>90730711868.199997</v>
      </c>
      <c r="I363" s="2">
        <v>2049.9999993000001</v>
      </c>
      <c r="J363" s="2">
        <v>19.470892209999999</v>
      </c>
      <c r="K363" s="2">
        <v>442647</v>
      </c>
      <c r="L363" s="2">
        <v>4306949573980</v>
      </c>
      <c r="M363" s="2">
        <v>259330</v>
      </c>
      <c r="N363" s="2" t="s">
        <v>2033</v>
      </c>
      <c r="O363" s="2">
        <v>1.5359999999999999E-5</v>
      </c>
      <c r="P363" s="2">
        <v>73591259</v>
      </c>
      <c r="Q363" s="2">
        <v>164</v>
      </c>
    </row>
    <row r="364" spans="1:17" x14ac:dyDescent="0.25">
      <c r="A364" s="1">
        <v>43246</v>
      </c>
      <c r="B364" s="2" t="s">
        <v>2034</v>
      </c>
      <c r="C364" s="2" t="s">
        <v>2035</v>
      </c>
      <c r="D364" s="2">
        <v>158621</v>
      </c>
      <c r="E364" s="2" t="s">
        <v>2036</v>
      </c>
      <c r="F364" s="2" t="s">
        <v>2037</v>
      </c>
      <c r="G364" s="2" t="s">
        <v>2038</v>
      </c>
      <c r="H364" s="2">
        <v>90759870603.300003</v>
      </c>
      <c r="I364" s="2">
        <v>2025</v>
      </c>
      <c r="J364" s="2">
        <v>22.514081139999998</v>
      </c>
      <c r="K364" s="2">
        <v>467761</v>
      </c>
      <c r="L364" s="2">
        <v>4306949573980</v>
      </c>
      <c r="M364" s="2">
        <v>275434</v>
      </c>
      <c r="N364" s="2" t="s">
        <v>2039</v>
      </c>
      <c r="O364" s="2">
        <v>1.9789999999999999E-5</v>
      </c>
      <c r="P364" s="2">
        <v>79132040</v>
      </c>
      <c r="Q364" s="2">
        <v>162</v>
      </c>
    </row>
    <row r="365" spans="1:17" x14ac:dyDescent="0.25">
      <c r="A365" s="1">
        <v>43245</v>
      </c>
      <c r="B365" s="2" t="s">
        <v>2040</v>
      </c>
      <c r="C365" s="2" t="s">
        <v>2041</v>
      </c>
      <c r="D365" s="2">
        <v>196005</v>
      </c>
      <c r="E365" s="2" t="s">
        <v>2042</v>
      </c>
      <c r="F365" s="2" t="s">
        <v>2043</v>
      </c>
      <c r="G365" s="2" t="s">
        <v>2044</v>
      </c>
      <c r="H365" s="2">
        <v>90794912393.100006</v>
      </c>
      <c r="I365" s="2">
        <v>2200</v>
      </c>
      <c r="J365" s="2">
        <v>30.37696335</v>
      </c>
      <c r="K365" s="2">
        <v>618176</v>
      </c>
      <c r="L365" s="2">
        <v>4306949573980</v>
      </c>
      <c r="M365" s="2">
        <v>364320</v>
      </c>
      <c r="N365" s="2" t="s">
        <v>2045</v>
      </c>
      <c r="O365" s="2">
        <v>2.8180000000000001E-5</v>
      </c>
      <c r="P365" s="2">
        <v>110010905</v>
      </c>
      <c r="Q365" s="2">
        <v>176</v>
      </c>
    </row>
    <row r="366" spans="1:17" x14ac:dyDescent="0.25">
      <c r="A366" s="1">
        <v>43244</v>
      </c>
      <c r="B366" s="2" t="s">
        <v>2046</v>
      </c>
      <c r="C366" s="2" t="s">
        <v>2047</v>
      </c>
      <c r="D366" s="2">
        <v>206682</v>
      </c>
      <c r="E366" s="2" t="s">
        <v>2048</v>
      </c>
      <c r="F366" s="2" t="s">
        <v>2049</v>
      </c>
      <c r="G366" s="2" t="s">
        <v>2050</v>
      </c>
      <c r="H366" s="2">
        <v>90863976634</v>
      </c>
      <c r="I366" s="2">
        <v>1787.5</v>
      </c>
      <c r="J366" s="2">
        <v>29.753627810000001</v>
      </c>
      <c r="K366" s="2">
        <v>569804</v>
      </c>
      <c r="L366" s="2">
        <v>4219142059010</v>
      </c>
      <c r="M366" s="2">
        <v>337988</v>
      </c>
      <c r="N366" s="2" t="s">
        <v>2051</v>
      </c>
      <c r="O366" s="2">
        <v>2.0800000000000001E-5</v>
      </c>
      <c r="P366" s="2">
        <v>103842761</v>
      </c>
      <c r="Q366" s="2">
        <v>143</v>
      </c>
    </row>
    <row r="367" spans="1:17" x14ac:dyDescent="0.25">
      <c r="A367" s="1">
        <v>43243</v>
      </c>
      <c r="B367" s="2" t="s">
        <v>2052</v>
      </c>
      <c r="C367" s="2" t="s">
        <v>2053</v>
      </c>
      <c r="D367" s="2">
        <v>223034</v>
      </c>
      <c r="E367" s="2" t="s">
        <v>2054</v>
      </c>
      <c r="F367" s="2" t="s">
        <v>2055</v>
      </c>
      <c r="G367" s="2" t="s">
        <v>2056</v>
      </c>
      <c r="H367" s="2">
        <v>90850110804.899994</v>
      </c>
      <c r="I367" s="2">
        <v>2025</v>
      </c>
      <c r="J367" s="2">
        <v>30.820251379999998</v>
      </c>
      <c r="K367" s="2">
        <v>640762</v>
      </c>
      <c r="L367" s="2">
        <v>4143878474750</v>
      </c>
      <c r="M367" s="2">
        <v>364663</v>
      </c>
      <c r="N367" s="2" t="s">
        <v>2057</v>
      </c>
      <c r="O367" s="2">
        <v>2.3249999999999999E-5</v>
      </c>
      <c r="P367" s="2">
        <v>121183187</v>
      </c>
      <c r="Q367" s="2">
        <v>162</v>
      </c>
    </row>
    <row r="368" spans="1:17" x14ac:dyDescent="0.25">
      <c r="A368" s="1">
        <v>43242</v>
      </c>
      <c r="B368" s="2" t="s">
        <v>2058</v>
      </c>
      <c r="C368" s="2" t="s">
        <v>2059</v>
      </c>
      <c r="D368" s="2">
        <v>203186</v>
      </c>
      <c r="E368" s="2" t="s">
        <v>2060</v>
      </c>
      <c r="F368" s="2" t="s">
        <v>2061</v>
      </c>
      <c r="G368" s="2" t="s">
        <v>2062</v>
      </c>
      <c r="H368" s="2">
        <v>90963000458.199997</v>
      </c>
      <c r="I368" s="2">
        <v>1887.5</v>
      </c>
      <c r="J368" s="2">
        <v>26.524133209999999</v>
      </c>
      <c r="K368" s="2">
        <v>588253</v>
      </c>
      <c r="L368" s="2">
        <v>4143878474750</v>
      </c>
      <c r="M368" s="2">
        <v>327021</v>
      </c>
      <c r="N368" s="2" t="s">
        <v>2063</v>
      </c>
      <c r="O368" s="2">
        <v>2.5700000000000001E-5</v>
      </c>
      <c r="P368" s="2">
        <v>105354596</v>
      </c>
      <c r="Q368" s="2">
        <v>151</v>
      </c>
    </row>
    <row r="369" spans="1:17" x14ac:dyDescent="0.25">
      <c r="A369" s="1">
        <v>43241</v>
      </c>
      <c r="B369" s="2" t="s">
        <v>2064</v>
      </c>
      <c r="C369" s="2" t="s">
        <v>2065</v>
      </c>
      <c r="D369" s="2">
        <v>202490</v>
      </c>
      <c r="E369" s="2" t="s">
        <v>2066</v>
      </c>
      <c r="F369" s="2" t="s">
        <v>2067</v>
      </c>
      <c r="G369" s="2" t="s">
        <v>2068</v>
      </c>
      <c r="H369" s="2">
        <v>91040191193</v>
      </c>
      <c r="I369" s="2">
        <v>1962.5</v>
      </c>
      <c r="J369" s="2">
        <v>31.28915469</v>
      </c>
      <c r="K369" s="2">
        <v>622918</v>
      </c>
      <c r="L369" s="2">
        <v>4143878474750</v>
      </c>
      <c r="M369" s="2">
        <v>334313</v>
      </c>
      <c r="N369" s="2" t="s">
        <v>2069</v>
      </c>
      <c r="O369" s="2">
        <v>2.0550000000000001E-5</v>
      </c>
      <c r="P369" s="2">
        <v>118593085</v>
      </c>
      <c r="Q369" s="2">
        <v>157</v>
      </c>
    </row>
    <row r="370" spans="1:17" x14ac:dyDescent="0.25">
      <c r="A370" s="1">
        <v>43240</v>
      </c>
      <c r="B370" s="2" t="s">
        <v>2070</v>
      </c>
      <c r="C370" s="2" t="s">
        <v>2071</v>
      </c>
      <c r="D370" s="2">
        <v>158519</v>
      </c>
      <c r="E370" s="2" t="s">
        <v>2072</v>
      </c>
      <c r="F370" s="2" t="s">
        <v>2073</v>
      </c>
      <c r="G370" s="2" t="s">
        <v>2074</v>
      </c>
      <c r="H370" s="2">
        <v>91005117478.300003</v>
      </c>
      <c r="I370" s="2">
        <v>1800</v>
      </c>
      <c r="J370" s="2">
        <v>24.989157630000001</v>
      </c>
      <c r="K370" s="2">
        <v>475738</v>
      </c>
      <c r="L370" s="2">
        <v>4143878474750</v>
      </c>
      <c r="M370" s="2">
        <v>281220</v>
      </c>
      <c r="N370" s="2" t="s">
        <v>2075</v>
      </c>
      <c r="O370" s="2">
        <v>2.0509999999999998E-5</v>
      </c>
      <c r="P370" s="2">
        <v>79927136</v>
      </c>
      <c r="Q370" s="2">
        <v>144</v>
      </c>
    </row>
    <row r="371" spans="1:17" x14ac:dyDescent="0.25">
      <c r="A371" s="1">
        <v>43239</v>
      </c>
      <c r="B371" s="2" t="s">
        <v>2076</v>
      </c>
      <c r="C371" s="2" t="s">
        <v>2077</v>
      </c>
      <c r="D371" s="2">
        <v>173120</v>
      </c>
      <c r="E371" s="2" t="s">
        <v>2078</v>
      </c>
      <c r="F371" s="2" t="s">
        <v>2079</v>
      </c>
      <c r="G371" s="2" t="s">
        <v>2080</v>
      </c>
      <c r="H371" s="2">
        <v>90963077049.899994</v>
      </c>
      <c r="I371" s="2">
        <v>1925</v>
      </c>
      <c r="J371" s="2">
        <v>31.423905309999999</v>
      </c>
      <c r="K371" s="2">
        <v>514455</v>
      </c>
      <c r="L371" s="2">
        <v>4143878474750</v>
      </c>
      <c r="M371" s="2">
        <v>286108</v>
      </c>
      <c r="N371" s="2" t="s">
        <v>2081</v>
      </c>
      <c r="O371" s="2">
        <v>3.8890000000000002E-5</v>
      </c>
      <c r="P371" s="2">
        <v>89359840</v>
      </c>
      <c r="Q371" s="2">
        <v>154</v>
      </c>
    </row>
    <row r="372" spans="1:17" x14ac:dyDescent="0.25">
      <c r="A372" s="1">
        <v>43238</v>
      </c>
      <c r="B372" s="2" t="s">
        <v>2082</v>
      </c>
      <c r="C372" s="2" t="s">
        <v>2083</v>
      </c>
      <c r="D372" s="2">
        <v>211348</v>
      </c>
      <c r="E372" s="2" t="s">
        <v>2084</v>
      </c>
      <c r="F372" s="2" t="s">
        <v>2085</v>
      </c>
      <c r="G372" s="2" t="s">
        <v>2086</v>
      </c>
      <c r="H372" s="2">
        <v>90928768494.199997</v>
      </c>
      <c r="I372" s="2">
        <v>1850</v>
      </c>
      <c r="J372" s="2">
        <v>70.139952120000004</v>
      </c>
      <c r="K372" s="2">
        <v>703271</v>
      </c>
      <c r="L372" s="2">
        <v>4143878474750</v>
      </c>
      <c r="M372" s="2">
        <v>391406</v>
      </c>
      <c r="N372" s="2" t="s">
        <v>2087</v>
      </c>
      <c r="O372" s="2">
        <v>1.4411E-4</v>
      </c>
      <c r="P372" s="2">
        <v>124213463</v>
      </c>
      <c r="Q372" s="2">
        <v>148</v>
      </c>
    </row>
    <row r="373" spans="1:17" x14ac:dyDescent="0.25">
      <c r="A373" s="1">
        <v>43237</v>
      </c>
      <c r="B373" s="2" t="s">
        <v>2088</v>
      </c>
      <c r="C373" s="2" t="s">
        <v>2089</v>
      </c>
      <c r="D373" s="2">
        <v>192551</v>
      </c>
      <c r="E373" s="2" t="s">
        <v>2090</v>
      </c>
      <c r="F373" s="2" t="s">
        <v>2091</v>
      </c>
      <c r="G373" s="2" t="s">
        <v>2092</v>
      </c>
      <c r="H373" s="2">
        <v>90972384729.699997</v>
      </c>
      <c r="I373" s="2">
        <v>1650</v>
      </c>
      <c r="J373" s="2">
        <v>54.057273010000003</v>
      </c>
      <c r="K373" s="2">
        <v>629548</v>
      </c>
      <c r="L373" s="2">
        <v>4143878474750</v>
      </c>
      <c r="M373" s="2">
        <v>316167</v>
      </c>
      <c r="N373" s="2" t="s">
        <v>2093</v>
      </c>
      <c r="O373" s="2">
        <v>6.054E-5</v>
      </c>
      <c r="P373" s="2">
        <v>113553653</v>
      </c>
      <c r="Q373" s="2">
        <v>132</v>
      </c>
    </row>
    <row r="374" spans="1:17" x14ac:dyDescent="0.25">
      <c r="A374" s="1">
        <v>43236</v>
      </c>
      <c r="B374" s="2" t="s">
        <v>2094</v>
      </c>
      <c r="C374" s="2" t="s">
        <v>2095</v>
      </c>
      <c r="D374" s="2">
        <v>208284</v>
      </c>
      <c r="E374" s="2" t="s">
        <v>2096</v>
      </c>
      <c r="F374" s="2" t="s">
        <v>2097</v>
      </c>
      <c r="G374" s="2" t="s">
        <v>2098</v>
      </c>
      <c r="H374" s="2">
        <v>90653516582.899994</v>
      </c>
      <c r="I374" s="2">
        <v>2237.5</v>
      </c>
      <c r="J374" s="2">
        <v>32.358907960000003</v>
      </c>
      <c r="K374" s="2">
        <v>604422</v>
      </c>
      <c r="L374" s="2">
        <v>4143878474750</v>
      </c>
      <c r="M374" s="2">
        <v>345311</v>
      </c>
      <c r="N374" s="2" t="s">
        <v>2099</v>
      </c>
      <c r="O374" s="2">
        <v>4.5680000000000003E-5</v>
      </c>
      <c r="P374" s="2">
        <v>108580888</v>
      </c>
      <c r="Q374" s="2">
        <v>179</v>
      </c>
    </row>
    <row r="375" spans="1:17" x14ac:dyDescent="0.25">
      <c r="A375" s="1">
        <v>43235</v>
      </c>
      <c r="B375" s="2" t="s">
        <v>2100</v>
      </c>
      <c r="C375" s="2" t="s">
        <v>2101</v>
      </c>
      <c r="D375" s="2">
        <v>214633</v>
      </c>
      <c r="E375" s="2" t="s">
        <v>2102</v>
      </c>
      <c r="F375" s="2" t="s">
        <v>2103</v>
      </c>
      <c r="G375" s="2" t="s">
        <v>2104</v>
      </c>
      <c r="H375" s="2">
        <v>90744836121.399994</v>
      </c>
      <c r="I375" s="2">
        <v>1825</v>
      </c>
      <c r="J375" s="2">
        <v>37.834746289999998</v>
      </c>
      <c r="K375" s="2">
        <v>640177</v>
      </c>
      <c r="L375" s="2">
        <v>4143878474750</v>
      </c>
      <c r="M375" s="2">
        <v>363050</v>
      </c>
      <c r="N375" s="2" t="s">
        <v>2105</v>
      </c>
      <c r="O375" s="2">
        <v>6.084E-5</v>
      </c>
      <c r="P375" s="2">
        <v>115541554</v>
      </c>
      <c r="Q375" s="2">
        <v>146</v>
      </c>
    </row>
    <row r="376" spans="1:17" x14ac:dyDescent="0.25">
      <c r="A376" s="1">
        <v>43234</v>
      </c>
      <c r="B376" s="2" t="s">
        <v>2106</v>
      </c>
      <c r="C376" s="2" t="s">
        <v>2107</v>
      </c>
      <c r="D376" s="2">
        <v>209565</v>
      </c>
      <c r="E376" s="2" t="s">
        <v>2108</v>
      </c>
      <c r="F376" s="2" t="s">
        <v>2109</v>
      </c>
      <c r="G376" s="2" t="s">
        <v>2110</v>
      </c>
      <c r="H376" s="2">
        <v>90744853066.600006</v>
      </c>
      <c r="I376" s="2">
        <v>1650</v>
      </c>
      <c r="J376" s="2">
        <v>35.257740750000004</v>
      </c>
      <c r="K376" s="2">
        <v>636148</v>
      </c>
      <c r="L376" s="2">
        <v>4143878474750</v>
      </c>
      <c r="M376" s="2">
        <v>360717</v>
      </c>
      <c r="N376" s="2" t="s">
        <v>2111</v>
      </c>
      <c r="O376" s="2">
        <v>4.9410000000000003E-5</v>
      </c>
      <c r="P376" s="2">
        <v>115196964</v>
      </c>
      <c r="Q376" s="2">
        <v>132</v>
      </c>
    </row>
    <row r="377" spans="1:17" x14ac:dyDescent="0.25">
      <c r="A377" s="1">
        <v>43233</v>
      </c>
      <c r="B377" s="2" t="s">
        <v>2112</v>
      </c>
      <c r="C377" s="2" t="s">
        <v>2113</v>
      </c>
      <c r="D377" s="2">
        <v>158646</v>
      </c>
      <c r="E377" s="2" t="s">
        <v>2114</v>
      </c>
      <c r="F377" s="2" t="s">
        <v>2115</v>
      </c>
      <c r="G377" s="2" t="s">
        <v>2116</v>
      </c>
      <c r="H377" s="2">
        <v>90257207147.600006</v>
      </c>
      <c r="I377" s="2">
        <v>1850</v>
      </c>
      <c r="J377" s="2">
        <v>23.33858622</v>
      </c>
      <c r="K377" s="2">
        <v>483628</v>
      </c>
      <c r="L377" s="2">
        <v>4143878474750</v>
      </c>
      <c r="M377" s="2">
        <v>277402</v>
      </c>
      <c r="N377" s="2" t="s">
        <v>2117</v>
      </c>
      <c r="O377" s="2">
        <v>3.3540000000000001E-5</v>
      </c>
      <c r="P377" s="2">
        <v>85299067</v>
      </c>
      <c r="Q377" s="2">
        <v>148</v>
      </c>
    </row>
    <row r="378" spans="1:17" x14ac:dyDescent="0.25">
      <c r="A378" s="1">
        <v>43232</v>
      </c>
      <c r="B378" s="2" t="s">
        <v>2118</v>
      </c>
      <c r="C378" s="2" t="s">
        <v>2119</v>
      </c>
      <c r="D378" s="2">
        <v>181889</v>
      </c>
      <c r="E378" s="2" t="s">
        <v>2120</v>
      </c>
      <c r="F378" s="2" t="s">
        <v>2121</v>
      </c>
      <c r="G378" s="2" t="s">
        <v>2122</v>
      </c>
      <c r="H378" s="2">
        <v>90238134114.600006</v>
      </c>
      <c r="I378" s="2">
        <v>2062.5</v>
      </c>
      <c r="J378" s="2">
        <v>28.388344050000001</v>
      </c>
      <c r="K378" s="2">
        <v>588539</v>
      </c>
      <c r="L378" s="2">
        <v>4143878474750</v>
      </c>
      <c r="M378" s="2">
        <v>342910</v>
      </c>
      <c r="N378" s="2" t="s">
        <v>2123</v>
      </c>
      <c r="O378" s="2">
        <v>4.0200000000000001E-5</v>
      </c>
      <c r="P378" s="2">
        <v>106299053</v>
      </c>
      <c r="Q378" s="2">
        <v>165</v>
      </c>
    </row>
    <row r="379" spans="1:17" x14ac:dyDescent="0.25">
      <c r="A379" s="1">
        <v>43231</v>
      </c>
      <c r="B379" s="2" t="s">
        <v>2124</v>
      </c>
      <c r="C379" s="2" t="s">
        <v>2125</v>
      </c>
      <c r="D379" s="2">
        <v>213497</v>
      </c>
      <c r="E379" s="2" t="s">
        <v>2126</v>
      </c>
      <c r="F379" s="2" t="s">
        <v>2127</v>
      </c>
      <c r="G379" s="2" t="s">
        <v>2128</v>
      </c>
      <c r="H379" s="2">
        <v>90233281644.899994</v>
      </c>
      <c r="I379" s="2">
        <v>1587.5</v>
      </c>
      <c r="J379" s="2">
        <v>38.612103750000003</v>
      </c>
      <c r="K379" s="2">
        <v>758816</v>
      </c>
      <c r="L379" s="2">
        <v>4138123233250</v>
      </c>
      <c r="M379" s="2">
        <v>405291</v>
      </c>
      <c r="N379" s="2" t="s">
        <v>2129</v>
      </c>
      <c r="O379" s="2">
        <v>4.7139999999999999E-5</v>
      </c>
      <c r="P379" s="2">
        <v>136597543</v>
      </c>
      <c r="Q379" s="2">
        <v>127</v>
      </c>
    </row>
    <row r="380" spans="1:17" x14ac:dyDescent="0.25">
      <c r="A380" s="1">
        <v>43230</v>
      </c>
      <c r="B380" s="2" t="s">
        <v>2130</v>
      </c>
      <c r="C380" s="2" t="s">
        <v>2131</v>
      </c>
      <c r="D380" s="2">
        <v>208807</v>
      </c>
      <c r="E380" s="2" t="s">
        <v>2132</v>
      </c>
      <c r="F380" s="2" t="s">
        <v>2133</v>
      </c>
      <c r="G380" s="2" t="s">
        <v>2134</v>
      </c>
      <c r="H380" s="2">
        <v>90353266013.699997</v>
      </c>
      <c r="I380" s="2">
        <v>1925</v>
      </c>
      <c r="J380" s="2">
        <v>26.71177891</v>
      </c>
      <c r="K380" s="2">
        <v>617388</v>
      </c>
      <c r="L380" s="2">
        <v>4022059196160</v>
      </c>
      <c r="M380" s="2">
        <v>354923</v>
      </c>
      <c r="N380" s="2" t="s">
        <v>2135</v>
      </c>
      <c r="O380" s="2">
        <v>2.8989999999999999E-5</v>
      </c>
      <c r="P380" s="2">
        <v>112940011</v>
      </c>
      <c r="Q380" s="2">
        <v>154</v>
      </c>
    </row>
    <row r="381" spans="1:17" x14ac:dyDescent="0.25">
      <c r="A381" s="1">
        <v>43229</v>
      </c>
      <c r="B381" s="2" t="s">
        <v>2136</v>
      </c>
      <c r="C381" s="2" t="s">
        <v>2137</v>
      </c>
      <c r="D381" s="2">
        <v>206419</v>
      </c>
      <c r="E381" s="2" t="s">
        <v>2138</v>
      </c>
      <c r="F381" s="2" t="s">
        <v>2139</v>
      </c>
      <c r="G381" s="2" t="s">
        <v>2140</v>
      </c>
      <c r="H381" s="2">
        <v>90331741299.199997</v>
      </c>
      <c r="I381" s="2">
        <v>2000</v>
      </c>
      <c r="J381" s="2">
        <v>30.529569930000001</v>
      </c>
      <c r="K381" s="2">
        <v>612055</v>
      </c>
      <c r="L381" s="2">
        <v>4022059196160</v>
      </c>
      <c r="M381" s="2">
        <v>348840</v>
      </c>
      <c r="N381" s="2" t="s">
        <v>2141</v>
      </c>
      <c r="O381" s="2">
        <v>3.3899999999999997E-5</v>
      </c>
      <c r="P381" s="2">
        <v>117268094</v>
      </c>
      <c r="Q381" s="2">
        <v>160</v>
      </c>
    </row>
    <row r="382" spans="1:17" x14ac:dyDescent="0.25">
      <c r="A382" s="1">
        <v>43228</v>
      </c>
      <c r="B382" s="2" t="s">
        <v>2142</v>
      </c>
      <c r="C382" s="2" t="s">
        <v>2143</v>
      </c>
      <c r="D382" s="2">
        <v>217671</v>
      </c>
      <c r="E382" s="2" t="s">
        <v>2144</v>
      </c>
      <c r="F382" s="2" t="s">
        <v>2145</v>
      </c>
      <c r="G382" s="2" t="s">
        <v>2146</v>
      </c>
      <c r="H382" s="2">
        <v>90221582281.899994</v>
      </c>
      <c r="I382" s="2">
        <v>1737.4999992600001</v>
      </c>
      <c r="J382" s="2">
        <v>34.294135779999998</v>
      </c>
      <c r="K382" s="2">
        <v>665088</v>
      </c>
      <c r="L382" s="2">
        <v>4022059196160</v>
      </c>
      <c r="M382" s="2">
        <v>374324</v>
      </c>
      <c r="N382" s="2" t="s">
        <v>2147</v>
      </c>
      <c r="O382" s="2">
        <v>4.5269999999999999E-5</v>
      </c>
      <c r="P382" s="2">
        <v>127240201</v>
      </c>
      <c r="Q382" s="2">
        <v>139</v>
      </c>
    </row>
    <row r="383" spans="1:17" x14ac:dyDescent="0.25">
      <c r="A383" s="1">
        <v>43227</v>
      </c>
      <c r="B383" s="2" t="s">
        <v>2148</v>
      </c>
      <c r="C383" s="2" t="s">
        <v>2149</v>
      </c>
      <c r="D383" s="2">
        <v>204913</v>
      </c>
      <c r="E383" s="2" t="s">
        <v>2150</v>
      </c>
      <c r="F383" s="2" t="s">
        <v>2151</v>
      </c>
      <c r="G383" s="2" t="s">
        <v>2152</v>
      </c>
      <c r="H383" s="2">
        <v>90228430839</v>
      </c>
      <c r="I383" s="2">
        <v>1875</v>
      </c>
      <c r="J383" s="2">
        <v>35.900142619999997</v>
      </c>
      <c r="K383" s="2">
        <v>660191</v>
      </c>
      <c r="L383" s="2">
        <v>4022059196160</v>
      </c>
      <c r="M383" s="2">
        <v>341955</v>
      </c>
      <c r="N383" s="2" t="s">
        <v>2153</v>
      </c>
      <c r="O383" s="2">
        <v>4.32E-5</v>
      </c>
      <c r="P383" s="2">
        <v>130155208</v>
      </c>
      <c r="Q383" s="2">
        <v>150</v>
      </c>
    </row>
    <row r="384" spans="1:17" x14ac:dyDescent="0.25">
      <c r="A384" s="1">
        <v>43226</v>
      </c>
      <c r="B384" s="2" t="s">
        <v>2154</v>
      </c>
      <c r="C384" s="2" t="s">
        <v>2155</v>
      </c>
      <c r="D384" s="2">
        <v>171624</v>
      </c>
      <c r="E384" s="2" t="s">
        <v>2156</v>
      </c>
      <c r="F384" s="2" t="s">
        <v>2157</v>
      </c>
      <c r="G384" s="2" t="s">
        <v>2158</v>
      </c>
      <c r="H384" s="2">
        <v>90213890841.300003</v>
      </c>
      <c r="I384" s="2">
        <v>1712.5</v>
      </c>
      <c r="J384" s="2">
        <v>31.281958370000002</v>
      </c>
      <c r="K384" s="2">
        <v>533415</v>
      </c>
      <c r="L384" s="2">
        <v>4022059196160</v>
      </c>
      <c r="M384" s="2">
        <v>298239</v>
      </c>
      <c r="N384" s="2" t="s">
        <v>2159</v>
      </c>
      <c r="O384" s="2">
        <v>3.0000000000000001E-5</v>
      </c>
      <c r="P384" s="2">
        <v>103900945</v>
      </c>
      <c r="Q384" s="2">
        <v>137</v>
      </c>
    </row>
    <row r="385" spans="1:17" x14ac:dyDescent="0.25">
      <c r="A385" s="1">
        <v>43225</v>
      </c>
      <c r="B385" s="2" t="s">
        <v>2160</v>
      </c>
      <c r="C385" s="2" t="s">
        <v>2161</v>
      </c>
      <c r="D385" s="2">
        <v>202542</v>
      </c>
      <c r="E385" s="2" t="s">
        <v>2162</v>
      </c>
      <c r="F385" s="2" t="s">
        <v>2163</v>
      </c>
      <c r="G385" s="2" t="s">
        <v>2164</v>
      </c>
      <c r="H385" s="2">
        <v>90185621566.600006</v>
      </c>
      <c r="I385" s="2">
        <v>2012.5</v>
      </c>
      <c r="J385" s="2">
        <v>32.178314970000002</v>
      </c>
      <c r="K385" s="2">
        <v>625693</v>
      </c>
      <c r="L385" s="2">
        <v>4022059196160</v>
      </c>
      <c r="M385" s="2">
        <v>347986</v>
      </c>
      <c r="N385" s="2" t="s">
        <v>2165</v>
      </c>
      <c r="O385" s="2">
        <v>3.3649999999999998E-5</v>
      </c>
      <c r="P385" s="2">
        <v>116964787</v>
      </c>
      <c r="Q385" s="2">
        <v>161</v>
      </c>
    </row>
    <row r="386" spans="1:17" x14ac:dyDescent="0.25">
      <c r="A386" s="1">
        <v>43224</v>
      </c>
      <c r="B386" s="2" t="s">
        <v>2166</v>
      </c>
      <c r="C386" s="2" t="s">
        <v>2167</v>
      </c>
      <c r="D386" s="2">
        <v>218931</v>
      </c>
      <c r="E386" s="2" t="s">
        <v>2168</v>
      </c>
      <c r="F386" s="2" t="s">
        <v>2169</v>
      </c>
      <c r="G386" s="2" t="s">
        <v>2170</v>
      </c>
      <c r="H386" s="2">
        <v>90102515213.699997</v>
      </c>
      <c r="I386" s="2">
        <v>1725</v>
      </c>
      <c r="J386" s="2">
        <v>39.378536490000002</v>
      </c>
      <c r="K386" s="2">
        <v>695603</v>
      </c>
      <c r="L386" s="2">
        <v>4022059196160</v>
      </c>
      <c r="M386" s="2">
        <v>395233</v>
      </c>
      <c r="N386" s="2" t="s">
        <v>2171</v>
      </c>
      <c r="O386" s="2">
        <v>4.0420000000000003E-5</v>
      </c>
      <c r="P386" s="2">
        <v>134387026</v>
      </c>
      <c r="Q386" s="2">
        <v>138</v>
      </c>
    </row>
    <row r="387" spans="1:17" x14ac:dyDescent="0.25">
      <c r="A387" s="1">
        <v>43223</v>
      </c>
      <c r="B387" s="2" t="s">
        <v>2172</v>
      </c>
      <c r="C387" s="2" t="s">
        <v>2173</v>
      </c>
      <c r="D387" s="2">
        <v>228370</v>
      </c>
      <c r="E387" s="2" t="s">
        <v>2174</v>
      </c>
      <c r="F387" s="2" t="s">
        <v>2175</v>
      </c>
      <c r="G387" s="2" t="s">
        <v>2176</v>
      </c>
      <c r="H387" s="2">
        <v>89982121324.699997</v>
      </c>
      <c r="I387" s="2">
        <v>1887.5</v>
      </c>
      <c r="J387" s="2">
        <v>39.400651660000001</v>
      </c>
      <c r="K387" s="2">
        <v>663171</v>
      </c>
      <c r="L387" s="2">
        <v>4022059196160</v>
      </c>
      <c r="M387" s="2">
        <v>382920</v>
      </c>
      <c r="N387" s="2" t="s">
        <v>2177</v>
      </c>
      <c r="O387" s="2">
        <v>3.8420000000000001E-5</v>
      </c>
      <c r="P387" s="2">
        <v>131056630</v>
      </c>
      <c r="Q387" s="2">
        <v>151</v>
      </c>
    </row>
    <row r="388" spans="1:17" x14ac:dyDescent="0.25">
      <c r="A388" s="1">
        <v>43222</v>
      </c>
      <c r="B388" s="2" t="s">
        <v>2178</v>
      </c>
      <c r="C388" s="2" t="s">
        <v>2179</v>
      </c>
      <c r="D388" s="2">
        <v>212156</v>
      </c>
      <c r="E388" s="2" t="s">
        <v>2180</v>
      </c>
      <c r="F388" s="2" t="s">
        <v>2181</v>
      </c>
      <c r="G388" s="2" t="s">
        <v>2182</v>
      </c>
      <c r="H388" s="2">
        <v>89833139050.899994</v>
      </c>
      <c r="I388" s="2">
        <v>1750</v>
      </c>
      <c r="J388" s="2">
        <v>38.886840149999998</v>
      </c>
      <c r="K388" s="2">
        <v>683386</v>
      </c>
      <c r="L388" s="2">
        <v>4022059196160</v>
      </c>
      <c r="M388" s="2">
        <v>355152</v>
      </c>
      <c r="N388" s="2" t="s">
        <v>2183</v>
      </c>
      <c r="O388" s="2">
        <v>3.5729999999999998E-5</v>
      </c>
      <c r="P388" s="2">
        <v>122916939</v>
      </c>
      <c r="Q388" s="2">
        <v>140</v>
      </c>
    </row>
    <row r="389" spans="1:17" x14ac:dyDescent="0.25">
      <c r="A389" s="1">
        <v>43221</v>
      </c>
      <c r="B389" s="2" t="s">
        <v>2184</v>
      </c>
      <c r="C389" s="2" t="s">
        <v>2185</v>
      </c>
      <c r="D389" s="2">
        <v>199801</v>
      </c>
      <c r="E389" s="2" t="s">
        <v>2186</v>
      </c>
      <c r="F389" s="2" t="s">
        <v>2187</v>
      </c>
      <c r="G389" s="2" t="s">
        <v>2188</v>
      </c>
      <c r="H389" s="2">
        <v>89636345518</v>
      </c>
      <c r="I389" s="2">
        <v>1975</v>
      </c>
      <c r="J389" s="2">
        <v>31.757901780000001</v>
      </c>
      <c r="K389" s="2">
        <v>632650</v>
      </c>
      <c r="L389" s="2">
        <v>4022059196160</v>
      </c>
      <c r="M389" s="2">
        <v>382675</v>
      </c>
      <c r="N389" s="2" t="s">
        <v>2189</v>
      </c>
      <c r="O389" s="2">
        <v>3.0239999999999998E-5</v>
      </c>
      <c r="P389" s="2">
        <v>106376905</v>
      </c>
      <c r="Q389" s="2">
        <v>158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D2E45-5ACE-42DB-BE0E-681C9B8CAAB8}">
  <dimension ref="A1:P389"/>
  <sheetViews>
    <sheetView workbookViewId="0">
      <selection activeCell="E2" sqref="E2"/>
    </sheetView>
  </sheetViews>
  <sheetFormatPr defaultRowHeight="15" x14ac:dyDescent="0.25"/>
  <cols>
    <col min="1" max="1" width="10.140625" bestFit="1" customWidth="1"/>
  </cols>
  <sheetData>
    <row r="1" spans="1:16" ht="15.75" x14ac:dyDescent="0.25">
      <c r="A1" s="3" t="s">
        <v>2207</v>
      </c>
      <c r="B1" s="3" t="s">
        <v>2208</v>
      </c>
      <c r="C1" s="3" t="s">
        <v>2192</v>
      </c>
      <c r="D1" s="3" t="s">
        <v>2193</v>
      </c>
      <c r="E1" s="3" t="s">
        <v>2209</v>
      </c>
      <c r="F1" s="3" t="s">
        <v>2210</v>
      </c>
      <c r="G1" s="3" t="s">
        <v>2211</v>
      </c>
      <c r="H1" s="3" t="s">
        <v>2198</v>
      </c>
      <c r="I1" s="3" t="s">
        <v>2212</v>
      </c>
      <c r="J1" s="3" t="s">
        <v>2200</v>
      </c>
      <c r="K1" s="3" t="s">
        <v>2203</v>
      </c>
      <c r="L1" s="3" t="s">
        <v>2204</v>
      </c>
      <c r="M1" s="3" t="s">
        <v>2201</v>
      </c>
      <c r="N1" s="3" t="s">
        <v>2202</v>
      </c>
      <c r="O1" s="3" t="s">
        <v>2205</v>
      </c>
      <c r="P1" s="3" t="s">
        <v>2206</v>
      </c>
    </row>
    <row r="2" spans="1:16" x14ac:dyDescent="0.25">
      <c r="A2" s="1">
        <v>43608</v>
      </c>
      <c r="B2" s="2">
        <v>828949092.39199996</v>
      </c>
      <c r="C2" s="2">
        <v>828949092.39199996</v>
      </c>
      <c r="D2" s="2">
        <v>846724</v>
      </c>
      <c r="E2" s="2">
        <v>25981842545.700001</v>
      </c>
      <c r="F2" s="2">
        <v>244.67</v>
      </c>
      <c r="G2" s="2">
        <v>10671663487</v>
      </c>
      <c r="H2" s="2">
        <v>13535.3125</v>
      </c>
      <c r="I2" s="2">
        <v>552.52172233800002</v>
      </c>
      <c r="J2" s="2" t="s">
        <v>6050</v>
      </c>
      <c r="K2" s="2">
        <v>0</v>
      </c>
      <c r="L2" s="2">
        <v>3.6940999999999997E-4</v>
      </c>
      <c r="M2" s="2">
        <v>2051024868180000</v>
      </c>
      <c r="N2" s="2">
        <v>329150</v>
      </c>
      <c r="O2" s="2">
        <v>160936807</v>
      </c>
      <c r="P2" s="2">
        <v>6329</v>
      </c>
    </row>
    <row r="3" spans="1:16" x14ac:dyDescent="0.25">
      <c r="A3" s="1">
        <v>43607</v>
      </c>
      <c r="B3" s="2">
        <v>808381535.76600003</v>
      </c>
      <c r="C3" s="2">
        <v>808381535.76600003</v>
      </c>
      <c r="D3" s="2">
        <v>873384</v>
      </c>
      <c r="E3" s="2">
        <v>27075706370.900002</v>
      </c>
      <c r="F3" s="2">
        <v>255</v>
      </c>
      <c r="G3" s="2">
        <v>9818257463</v>
      </c>
      <c r="H3" s="2">
        <v>13660.0625</v>
      </c>
      <c r="I3" s="2">
        <v>640.87975646500001</v>
      </c>
      <c r="J3" s="2" t="s">
        <v>6051</v>
      </c>
      <c r="K3" s="2">
        <v>0</v>
      </c>
      <c r="L3" s="2">
        <v>4.5817999999999998E-4</v>
      </c>
      <c r="M3" s="2">
        <v>2063611016190000</v>
      </c>
      <c r="N3" s="2">
        <v>329224</v>
      </c>
      <c r="O3" s="2">
        <v>164082223</v>
      </c>
      <c r="P3" s="2">
        <v>6401</v>
      </c>
    </row>
    <row r="4" spans="1:16" x14ac:dyDescent="0.25">
      <c r="A4" s="1">
        <v>43606</v>
      </c>
      <c r="B4" s="2">
        <v>828804759.92900002</v>
      </c>
      <c r="C4" s="2">
        <v>828804759.92900002</v>
      </c>
      <c r="D4" s="2">
        <v>812799</v>
      </c>
      <c r="E4" s="2">
        <v>26716250392</v>
      </c>
      <c r="F4" s="2">
        <v>251.65</v>
      </c>
      <c r="G4" s="2">
        <v>11545049593</v>
      </c>
      <c r="H4" s="2">
        <v>13515.1875</v>
      </c>
      <c r="I4" s="2">
        <v>465.35780970899998</v>
      </c>
      <c r="J4" s="2" t="s">
        <v>6052</v>
      </c>
      <c r="K4" s="2">
        <v>0</v>
      </c>
      <c r="L4" s="2">
        <v>2.4360000000000001E-4</v>
      </c>
      <c r="M4" s="2">
        <v>2059313418670000</v>
      </c>
      <c r="N4" s="2">
        <v>355792</v>
      </c>
      <c r="O4" s="2">
        <v>151817233</v>
      </c>
      <c r="P4" s="2">
        <v>6339</v>
      </c>
    </row>
    <row r="5" spans="1:16" x14ac:dyDescent="0.25">
      <c r="A5" s="1">
        <v>43605</v>
      </c>
      <c r="B5" s="2">
        <v>927822997.25800002</v>
      </c>
      <c r="C5" s="2">
        <v>927822997.25800002</v>
      </c>
      <c r="D5" s="2">
        <v>860161</v>
      </c>
      <c r="E5" s="2">
        <v>27734959162.700001</v>
      </c>
      <c r="F5" s="2">
        <v>261.27</v>
      </c>
      <c r="G5" s="2">
        <v>10834541285</v>
      </c>
      <c r="H5" s="2">
        <v>13504.25</v>
      </c>
      <c r="I5" s="2">
        <v>567.68703198200001</v>
      </c>
      <c r="J5" s="2" t="s">
        <v>6053</v>
      </c>
      <c r="K5" s="2">
        <v>0</v>
      </c>
      <c r="L5" s="2">
        <v>4.1780000000000002E-4</v>
      </c>
      <c r="M5" s="2">
        <v>2094413410100000</v>
      </c>
      <c r="N5" s="2">
        <v>336103</v>
      </c>
      <c r="O5" s="2">
        <v>158412428</v>
      </c>
      <c r="P5" s="2">
        <v>6349</v>
      </c>
    </row>
    <row r="6" spans="1:16" x14ac:dyDescent="0.25">
      <c r="A6" s="1">
        <v>43604</v>
      </c>
      <c r="B6" s="2">
        <v>610010849.81099999</v>
      </c>
      <c r="C6" s="2">
        <v>610010849.81099999</v>
      </c>
      <c r="D6" s="2">
        <v>752431</v>
      </c>
      <c r="E6" s="2">
        <v>24884503669.900002</v>
      </c>
      <c r="F6" s="2">
        <v>234.45</v>
      </c>
      <c r="G6" s="2">
        <v>12049250894</v>
      </c>
      <c r="H6" s="2">
        <v>13591.5625</v>
      </c>
      <c r="I6" s="2">
        <v>481.72383274499998</v>
      </c>
      <c r="J6" s="2" t="s">
        <v>6054</v>
      </c>
      <c r="K6" s="2">
        <v>0</v>
      </c>
      <c r="L6" s="2">
        <v>3.6827000000000002E-4</v>
      </c>
      <c r="M6" s="2">
        <v>2115431155050000</v>
      </c>
      <c r="N6" s="2">
        <v>291628</v>
      </c>
      <c r="O6" s="2">
        <v>139849991</v>
      </c>
      <c r="P6" s="2">
        <v>6386</v>
      </c>
    </row>
    <row r="7" spans="1:16" x14ac:dyDescent="0.25">
      <c r="A7" s="1">
        <v>43603</v>
      </c>
      <c r="B7" s="2">
        <v>604913485.29999995</v>
      </c>
      <c r="C7" s="2">
        <v>604913485.29999995</v>
      </c>
      <c r="D7" s="2">
        <v>735420</v>
      </c>
      <c r="E7" s="2">
        <v>25884527872.200001</v>
      </c>
      <c r="F7" s="2">
        <v>243.91</v>
      </c>
      <c r="G7" s="2">
        <v>10933142646</v>
      </c>
      <c r="H7" s="2">
        <v>13571.125</v>
      </c>
      <c r="I7" s="2">
        <v>557.07929308899998</v>
      </c>
      <c r="J7" s="2" t="s">
        <v>6055</v>
      </c>
      <c r="K7" s="2">
        <v>0</v>
      </c>
      <c r="L7" s="2">
        <v>3.8146069999999999E-4</v>
      </c>
      <c r="M7" s="2">
        <v>2162660027290000</v>
      </c>
      <c r="N7" s="2">
        <v>303478</v>
      </c>
      <c r="O7" s="2">
        <v>147449722</v>
      </c>
      <c r="P7" s="2">
        <v>6402</v>
      </c>
    </row>
    <row r="8" spans="1:16" x14ac:dyDescent="0.25">
      <c r="A8" s="1">
        <v>43602</v>
      </c>
      <c r="B8" s="2">
        <v>1321053276.01</v>
      </c>
      <c r="C8" s="2">
        <v>1321053276.01</v>
      </c>
      <c r="D8" s="2">
        <v>810320</v>
      </c>
      <c r="E8" s="2">
        <v>27998145740.200001</v>
      </c>
      <c r="F8" s="2">
        <v>263.85000000000002</v>
      </c>
      <c r="G8" s="2">
        <v>16037551694</v>
      </c>
      <c r="H8" s="2">
        <v>13782.3125</v>
      </c>
      <c r="I8" s="2">
        <v>740.51065925299997</v>
      </c>
      <c r="J8" s="2" t="s">
        <v>6056</v>
      </c>
      <c r="K8" s="2">
        <v>0</v>
      </c>
      <c r="L8" s="2">
        <v>4.8141330999999999E-4</v>
      </c>
      <c r="M8" s="2">
        <v>2115801198610000</v>
      </c>
      <c r="N8" s="2">
        <v>357808</v>
      </c>
      <c r="O8" s="2">
        <v>165415716</v>
      </c>
      <c r="P8" s="2">
        <v>6439</v>
      </c>
    </row>
    <row r="9" spans="1:16" x14ac:dyDescent="0.25">
      <c r="A9" s="1">
        <v>43601</v>
      </c>
      <c r="B9" s="2">
        <v>1979125072.0599999</v>
      </c>
      <c r="C9" s="2">
        <v>1979125072.0599999</v>
      </c>
      <c r="D9" s="2">
        <v>908208</v>
      </c>
      <c r="E9" s="2">
        <v>26199863758.900002</v>
      </c>
      <c r="F9" s="2">
        <v>246.94</v>
      </c>
      <c r="G9" s="2">
        <v>18661465873</v>
      </c>
      <c r="H9" s="2">
        <v>13579.8125</v>
      </c>
      <c r="I9" s="2">
        <v>907.41508028299995</v>
      </c>
      <c r="J9" s="2" t="s">
        <v>6057</v>
      </c>
      <c r="K9" s="2">
        <v>6.6673800000000005E-2</v>
      </c>
      <c r="L9" s="2">
        <v>5.3684499999999999E-4</v>
      </c>
      <c r="M9" s="2">
        <v>2028509045900000</v>
      </c>
      <c r="N9" s="2">
        <v>425348</v>
      </c>
      <c r="O9" s="2">
        <v>168374685</v>
      </c>
      <c r="P9" s="2">
        <v>6342</v>
      </c>
    </row>
    <row r="10" spans="1:16" x14ac:dyDescent="0.25">
      <c r="A10" s="1">
        <v>43600</v>
      </c>
      <c r="B10" s="2">
        <v>1075497904.95</v>
      </c>
      <c r="C10" s="2">
        <v>1075497904.95</v>
      </c>
      <c r="D10" s="2">
        <v>847606</v>
      </c>
      <c r="E10" s="2">
        <v>23021684455.900002</v>
      </c>
      <c r="F10" s="2">
        <v>217.01</v>
      </c>
      <c r="G10" s="2">
        <v>13460006534</v>
      </c>
      <c r="H10" s="2">
        <v>13740.9375</v>
      </c>
      <c r="I10" s="2">
        <v>661.28419972500001</v>
      </c>
      <c r="J10" s="2" t="s">
        <v>6058</v>
      </c>
      <c r="K10" s="2">
        <v>0</v>
      </c>
      <c r="L10" s="2">
        <v>4.0571989995800002E-4</v>
      </c>
      <c r="M10" s="2">
        <v>2027558764310000</v>
      </c>
      <c r="N10" s="2">
        <v>386906</v>
      </c>
      <c r="O10" s="2">
        <v>164259840</v>
      </c>
      <c r="P10" s="2">
        <v>6470</v>
      </c>
    </row>
    <row r="11" spans="1:16" x14ac:dyDescent="0.25">
      <c r="A11" s="1">
        <v>43599</v>
      </c>
      <c r="B11" s="2">
        <v>795946266.83700001</v>
      </c>
      <c r="C11" s="2">
        <v>795946266.83700001</v>
      </c>
      <c r="D11" s="2">
        <v>830785</v>
      </c>
      <c r="E11" s="2">
        <v>20868224155.299999</v>
      </c>
      <c r="F11" s="2">
        <v>196.74</v>
      </c>
      <c r="G11" s="2">
        <v>12751049755</v>
      </c>
      <c r="H11" s="2">
        <v>13719.3125</v>
      </c>
      <c r="I11" s="2">
        <v>529.14556870299998</v>
      </c>
      <c r="J11" s="2" t="s">
        <v>6059</v>
      </c>
      <c r="K11" s="2">
        <v>0</v>
      </c>
      <c r="L11" s="2">
        <v>3.1135100000000002E-4</v>
      </c>
      <c r="M11" s="2">
        <v>2005848139790000</v>
      </c>
      <c r="N11" s="2">
        <v>362113</v>
      </c>
      <c r="O11" s="2">
        <v>156646412</v>
      </c>
      <c r="P11" s="2">
        <v>6470</v>
      </c>
    </row>
    <row r="12" spans="1:16" x14ac:dyDescent="0.25">
      <c r="A12" s="1">
        <v>43598</v>
      </c>
      <c r="B12" s="2">
        <v>813922295.67799997</v>
      </c>
      <c r="C12" s="2">
        <v>813922295.67799997</v>
      </c>
      <c r="D12" s="2">
        <v>758695</v>
      </c>
      <c r="E12" s="2">
        <v>19876835045.5</v>
      </c>
      <c r="F12" s="2">
        <v>187.42</v>
      </c>
      <c r="G12" s="2">
        <v>10367149039</v>
      </c>
      <c r="H12" s="2">
        <v>13554.4375</v>
      </c>
      <c r="I12" s="2">
        <v>469.42081457199998</v>
      </c>
      <c r="J12" s="2" t="s">
        <v>6060</v>
      </c>
      <c r="K12" s="2">
        <v>0</v>
      </c>
      <c r="L12" s="2">
        <v>2.52E-4</v>
      </c>
      <c r="M12" s="2">
        <v>1964089878730000</v>
      </c>
      <c r="N12" s="2">
        <v>327439</v>
      </c>
      <c r="O12" s="2">
        <v>146298359</v>
      </c>
      <c r="P12" s="2">
        <v>6360</v>
      </c>
    </row>
    <row r="13" spans="1:16" x14ac:dyDescent="0.25">
      <c r="A13" s="1">
        <v>43597</v>
      </c>
      <c r="B13" s="2">
        <v>611292641.27900004</v>
      </c>
      <c r="C13" s="2">
        <v>611292641.27900004</v>
      </c>
      <c r="D13" s="2">
        <v>715827</v>
      </c>
      <c r="E13" s="2">
        <v>20588894193.5</v>
      </c>
      <c r="F13" s="2">
        <v>194.16</v>
      </c>
      <c r="G13" s="2">
        <v>10326050090</v>
      </c>
      <c r="H13" s="2">
        <v>13688.8125</v>
      </c>
      <c r="I13" s="2">
        <v>363.42894225399999</v>
      </c>
      <c r="J13" s="2" t="s">
        <v>6061</v>
      </c>
      <c r="K13" s="2">
        <v>0</v>
      </c>
      <c r="L13" s="2">
        <v>2.23014E-4</v>
      </c>
      <c r="M13" s="2">
        <v>1970525984860000</v>
      </c>
      <c r="N13" s="2">
        <v>285697</v>
      </c>
      <c r="O13" s="2">
        <v>138695078</v>
      </c>
      <c r="P13" s="2">
        <v>6441</v>
      </c>
    </row>
    <row r="14" spans="1:16" x14ac:dyDescent="0.25">
      <c r="A14" s="1">
        <v>43596</v>
      </c>
      <c r="B14" s="2">
        <v>874950486.51300001</v>
      </c>
      <c r="C14" s="2">
        <v>874950486.51300001</v>
      </c>
      <c r="D14" s="2">
        <v>742337</v>
      </c>
      <c r="E14" s="2">
        <v>18358409458.400002</v>
      </c>
      <c r="F14" s="2">
        <v>173.14</v>
      </c>
      <c r="G14" s="2">
        <v>12578331654</v>
      </c>
      <c r="H14" s="2">
        <v>13594.625</v>
      </c>
      <c r="I14" s="2">
        <v>364.54883168800001</v>
      </c>
      <c r="J14" s="2" t="s">
        <v>6062</v>
      </c>
      <c r="K14" s="2">
        <v>0</v>
      </c>
      <c r="L14" s="2">
        <v>2.177736E-4</v>
      </c>
      <c r="M14" s="2">
        <v>1949808422120000</v>
      </c>
      <c r="N14" s="2">
        <v>291976</v>
      </c>
      <c r="O14" s="2">
        <v>144963550</v>
      </c>
      <c r="P14" s="2">
        <v>6396</v>
      </c>
    </row>
    <row r="15" spans="1:16" x14ac:dyDescent="0.25">
      <c r="A15" s="1">
        <v>43595</v>
      </c>
      <c r="B15" s="2">
        <v>545043478.57700002</v>
      </c>
      <c r="C15" s="2">
        <v>545043478.57700002</v>
      </c>
      <c r="D15" s="2">
        <v>736762</v>
      </c>
      <c r="E15" s="2">
        <v>18055905794.799999</v>
      </c>
      <c r="F15" s="2">
        <v>170.31</v>
      </c>
      <c r="G15" s="2">
        <v>8036919053</v>
      </c>
      <c r="H15" s="2">
        <v>13727.3125</v>
      </c>
      <c r="I15" s="2">
        <v>428.28967315400001</v>
      </c>
      <c r="J15" s="2" t="s">
        <v>6063</v>
      </c>
      <c r="K15" s="2">
        <v>0</v>
      </c>
      <c r="L15" s="2">
        <v>2.3455000000000001E-4</v>
      </c>
      <c r="M15" s="2">
        <v>1925409598000000</v>
      </c>
      <c r="N15" s="2">
        <v>291770</v>
      </c>
      <c r="O15" s="2">
        <v>147417725</v>
      </c>
      <c r="P15" s="2">
        <v>6439</v>
      </c>
    </row>
    <row r="16" spans="1:16" x14ac:dyDescent="0.25">
      <c r="A16" s="1">
        <v>43594</v>
      </c>
      <c r="B16" s="2">
        <v>523727511.79100001</v>
      </c>
      <c r="C16" s="2">
        <v>523727511.79100001</v>
      </c>
      <c r="D16" s="2">
        <v>718440</v>
      </c>
      <c r="E16" s="2">
        <v>18121048846.799999</v>
      </c>
      <c r="F16" s="2">
        <v>170.95</v>
      </c>
      <c r="G16" s="2">
        <v>6546914198</v>
      </c>
      <c r="H16" s="2">
        <v>13612.125</v>
      </c>
      <c r="I16" s="2">
        <v>385.01231573000001</v>
      </c>
      <c r="J16" s="2" t="s">
        <v>6064</v>
      </c>
      <c r="K16" s="2">
        <v>0</v>
      </c>
      <c r="L16" s="2">
        <v>2.28192E-4</v>
      </c>
      <c r="M16" s="2">
        <v>1933476499310000</v>
      </c>
      <c r="N16" s="2">
        <v>290182</v>
      </c>
      <c r="O16" s="2">
        <v>145445466</v>
      </c>
      <c r="P16" s="2">
        <v>6364</v>
      </c>
    </row>
    <row r="17" spans="1:16" x14ac:dyDescent="0.25">
      <c r="A17" s="1">
        <v>43593</v>
      </c>
      <c r="B17" s="2">
        <v>576339213.80499995</v>
      </c>
      <c r="C17" s="2">
        <v>576339213.80499995</v>
      </c>
      <c r="D17" s="2">
        <v>686996</v>
      </c>
      <c r="E17" s="2">
        <v>18007315725</v>
      </c>
      <c r="F17" s="2">
        <v>169.9</v>
      </c>
      <c r="G17" s="2">
        <v>6416569598</v>
      </c>
      <c r="H17" s="2">
        <v>13573.125</v>
      </c>
      <c r="I17" s="2">
        <v>396.11925175900001</v>
      </c>
      <c r="J17" s="2" t="s">
        <v>6065</v>
      </c>
      <c r="K17" s="2">
        <v>0</v>
      </c>
      <c r="L17" s="2">
        <v>2.2498200000000001E-4</v>
      </c>
      <c r="M17" s="2">
        <v>1933128943770000</v>
      </c>
      <c r="N17" s="2">
        <v>288873</v>
      </c>
      <c r="O17" s="2">
        <v>155602776</v>
      </c>
      <c r="P17" s="2">
        <v>6336</v>
      </c>
    </row>
    <row r="18" spans="1:16" x14ac:dyDescent="0.25">
      <c r="A18" s="1">
        <v>43592</v>
      </c>
      <c r="B18" s="2">
        <v>645633249.13600004</v>
      </c>
      <c r="C18" s="2">
        <v>645633249.13600004</v>
      </c>
      <c r="D18" s="2">
        <v>658146</v>
      </c>
      <c r="E18" s="2">
        <v>18273173407.200001</v>
      </c>
      <c r="F18" s="2">
        <v>172.43</v>
      </c>
      <c r="G18" s="2">
        <v>8411140170</v>
      </c>
      <c r="H18" s="2">
        <v>13621.5625</v>
      </c>
      <c r="I18" s="2">
        <v>469.33155336200002</v>
      </c>
      <c r="J18" s="2" t="s">
        <v>6066</v>
      </c>
      <c r="K18" s="2">
        <v>0</v>
      </c>
      <c r="L18" s="2">
        <v>2.8640250000000001E-4</v>
      </c>
      <c r="M18" s="2">
        <v>1945360636830000</v>
      </c>
      <c r="N18" s="2">
        <v>284314</v>
      </c>
      <c r="O18" s="2">
        <v>179120205</v>
      </c>
      <c r="P18" s="2">
        <v>6395</v>
      </c>
    </row>
    <row r="19" spans="1:16" x14ac:dyDescent="0.25">
      <c r="A19" s="1">
        <v>43591</v>
      </c>
      <c r="B19" s="2">
        <v>540399021.63800001</v>
      </c>
      <c r="C19" s="2">
        <v>540399021.63800001</v>
      </c>
      <c r="D19" s="2">
        <v>706135</v>
      </c>
      <c r="E19" s="2">
        <v>17308103152.5</v>
      </c>
      <c r="F19" s="2">
        <v>163.34</v>
      </c>
      <c r="G19" s="2">
        <v>7540096853</v>
      </c>
      <c r="H19" s="2">
        <v>13567.8125</v>
      </c>
      <c r="I19" s="2">
        <v>394.66447488799997</v>
      </c>
      <c r="J19" s="2" t="s">
        <v>6067</v>
      </c>
      <c r="K19" s="2">
        <v>0</v>
      </c>
      <c r="L19" s="2">
        <v>2.1000000000000001E-4</v>
      </c>
      <c r="M19" s="2">
        <v>1917967433270000</v>
      </c>
      <c r="N19" s="2">
        <v>282961</v>
      </c>
      <c r="O19" s="2">
        <v>157893152</v>
      </c>
      <c r="P19" s="2">
        <v>6359</v>
      </c>
    </row>
    <row r="20" spans="1:16" x14ac:dyDescent="0.25">
      <c r="A20" s="1">
        <v>43590</v>
      </c>
      <c r="B20" s="2">
        <v>332142767.301</v>
      </c>
      <c r="C20" s="2">
        <v>332142767.301</v>
      </c>
      <c r="D20" s="2">
        <v>637464</v>
      </c>
      <c r="E20" s="2">
        <v>17377683271.799999</v>
      </c>
      <c r="F20" s="2">
        <v>164.02</v>
      </c>
      <c r="G20" s="2">
        <v>5938415562</v>
      </c>
      <c r="H20" s="2">
        <v>13635.375</v>
      </c>
      <c r="I20" s="2">
        <v>322.43643395599997</v>
      </c>
      <c r="J20" s="2" t="s">
        <v>6068</v>
      </c>
      <c r="K20" s="2">
        <v>0</v>
      </c>
      <c r="L20" s="2">
        <v>2.0539979999999999E-4</v>
      </c>
      <c r="M20" s="2">
        <v>1958102354580000</v>
      </c>
      <c r="N20" s="2">
        <v>248292</v>
      </c>
      <c r="O20" s="2">
        <v>122008078</v>
      </c>
      <c r="P20" s="2">
        <v>6386</v>
      </c>
    </row>
    <row r="21" spans="1:16" x14ac:dyDescent="0.25">
      <c r="A21" s="1">
        <v>43589</v>
      </c>
      <c r="B21" s="2">
        <v>359527157.53299999</v>
      </c>
      <c r="C21" s="2">
        <v>359527157.53299999</v>
      </c>
      <c r="D21" s="2">
        <v>623395</v>
      </c>
      <c r="E21" s="2">
        <v>17784968759</v>
      </c>
      <c r="F21" s="2">
        <v>167.89</v>
      </c>
      <c r="G21" s="2">
        <v>6658100049</v>
      </c>
      <c r="H21" s="2">
        <v>13829.25</v>
      </c>
      <c r="I21" s="2">
        <v>312.58827105400002</v>
      </c>
      <c r="J21" s="2" t="s">
        <v>6069</v>
      </c>
      <c r="K21" s="2">
        <v>0</v>
      </c>
      <c r="L21" s="2">
        <v>2.1000000000000001E-4</v>
      </c>
      <c r="M21" s="2">
        <v>1945626543640000</v>
      </c>
      <c r="N21" s="2">
        <v>257558</v>
      </c>
      <c r="O21" s="2">
        <v>120562966</v>
      </c>
      <c r="P21" s="2">
        <v>6530</v>
      </c>
    </row>
    <row r="22" spans="1:16" x14ac:dyDescent="0.25">
      <c r="A22" s="1">
        <v>43588</v>
      </c>
      <c r="B22" s="2">
        <v>456369672.65499997</v>
      </c>
      <c r="C22" s="2">
        <v>456369672.65499997</v>
      </c>
      <c r="D22" s="2">
        <v>670882</v>
      </c>
      <c r="E22" s="2">
        <v>17167863200.6</v>
      </c>
      <c r="F22" s="2">
        <v>162.08000000000001</v>
      </c>
      <c r="G22" s="2">
        <v>7299410672</v>
      </c>
      <c r="H22" s="2">
        <v>13482.4375</v>
      </c>
      <c r="I22" s="2">
        <v>377.23536943400001</v>
      </c>
      <c r="J22" s="2" t="s">
        <v>6070</v>
      </c>
      <c r="K22" s="2">
        <v>0</v>
      </c>
      <c r="L22" s="2">
        <v>2.0990000000000001E-4</v>
      </c>
      <c r="M22" s="2">
        <v>1896924686550000</v>
      </c>
      <c r="N22" s="2">
        <v>263678</v>
      </c>
      <c r="O22" s="2">
        <v>139282875</v>
      </c>
      <c r="P22" s="2">
        <v>6341</v>
      </c>
    </row>
    <row r="23" spans="1:16" x14ac:dyDescent="0.25">
      <c r="A23" s="1">
        <v>43587</v>
      </c>
      <c r="B23" s="2">
        <v>367210075.75599998</v>
      </c>
      <c r="C23" s="2">
        <v>367210075.75599998</v>
      </c>
      <c r="D23" s="2">
        <v>626308</v>
      </c>
      <c r="E23" s="2">
        <v>17035458363.799999</v>
      </c>
      <c r="F23" s="2">
        <v>160.85</v>
      </c>
      <c r="G23" s="2">
        <v>6044171062</v>
      </c>
      <c r="H23" s="2">
        <v>13644.5625</v>
      </c>
      <c r="I23" s="2">
        <v>779.25798658199994</v>
      </c>
      <c r="J23" s="2" t="s">
        <v>6071</v>
      </c>
      <c r="K23" s="2">
        <v>0</v>
      </c>
      <c r="L23" s="2">
        <v>2.2057000000000001E-4</v>
      </c>
      <c r="M23" s="2">
        <v>1908352390900000</v>
      </c>
      <c r="N23" s="2">
        <v>249036</v>
      </c>
      <c r="O23" s="2">
        <v>154967908</v>
      </c>
      <c r="P23" s="2">
        <v>6442</v>
      </c>
    </row>
    <row r="24" spans="1:16" x14ac:dyDescent="0.25">
      <c r="A24" s="1">
        <v>43586</v>
      </c>
      <c r="B24" s="2">
        <v>459187669.81199998</v>
      </c>
      <c r="C24" s="2">
        <v>459187669.81199998</v>
      </c>
      <c r="D24" s="2">
        <v>703790</v>
      </c>
      <c r="E24" s="2">
        <v>17174689512.799999</v>
      </c>
      <c r="F24" s="2">
        <v>162.19</v>
      </c>
      <c r="G24" s="2">
        <v>5789172433</v>
      </c>
      <c r="H24" s="2">
        <v>13689.125</v>
      </c>
      <c r="I24" s="2">
        <v>347.04912010300001</v>
      </c>
      <c r="J24" s="2" t="s">
        <v>6072</v>
      </c>
      <c r="K24" s="2">
        <v>0</v>
      </c>
      <c r="L24" s="2">
        <v>1.7594400000000001E-4</v>
      </c>
      <c r="M24" s="2">
        <v>1919592681620000</v>
      </c>
      <c r="N24" s="2">
        <v>275762</v>
      </c>
      <c r="O24" s="2">
        <v>130501114</v>
      </c>
      <c r="P24" s="2">
        <v>6465</v>
      </c>
    </row>
    <row r="25" spans="1:16" x14ac:dyDescent="0.25">
      <c r="A25" s="1">
        <v>43585</v>
      </c>
      <c r="B25" s="2">
        <v>507529045.33999997</v>
      </c>
      <c r="C25" s="2">
        <v>507529045.33999997</v>
      </c>
      <c r="D25" s="2">
        <v>707771</v>
      </c>
      <c r="E25" s="2">
        <v>16428969878.5</v>
      </c>
      <c r="F25" s="2">
        <v>155.16999999999999</v>
      </c>
      <c r="G25" s="2">
        <v>6275803460</v>
      </c>
      <c r="H25" s="2">
        <v>13648.75</v>
      </c>
      <c r="I25" s="2">
        <v>332.81697154599999</v>
      </c>
      <c r="J25" s="2" t="s">
        <v>2213</v>
      </c>
      <c r="K25" s="2">
        <v>0</v>
      </c>
      <c r="L25" s="2">
        <v>1.7101350000000001E-4</v>
      </c>
      <c r="M25" s="2">
        <v>1928695429610000</v>
      </c>
      <c r="N25" s="2">
        <v>280926</v>
      </c>
      <c r="O25" s="2">
        <v>133949283</v>
      </c>
      <c r="P25" s="2">
        <v>6412</v>
      </c>
    </row>
    <row r="26" spans="1:16" x14ac:dyDescent="0.25">
      <c r="A26" s="1">
        <v>43584</v>
      </c>
      <c r="B26" s="2">
        <v>534598967.55800003</v>
      </c>
      <c r="C26" s="2">
        <v>534598967.55800003</v>
      </c>
      <c r="D26" s="2">
        <v>628989</v>
      </c>
      <c r="E26" s="2">
        <v>16651905430.4</v>
      </c>
      <c r="F26" s="2">
        <v>157.29</v>
      </c>
      <c r="G26" s="2">
        <v>6053776253</v>
      </c>
      <c r="H26" s="2">
        <v>13681.125</v>
      </c>
      <c r="I26" s="2">
        <v>308.48230456700003</v>
      </c>
      <c r="J26" s="2" t="s">
        <v>2214</v>
      </c>
      <c r="K26" s="2">
        <v>0</v>
      </c>
      <c r="L26" s="2">
        <v>1.7141669999999999E-4</v>
      </c>
      <c r="M26" s="2">
        <v>1905690034590000</v>
      </c>
      <c r="N26" s="2">
        <v>266833</v>
      </c>
      <c r="O26" s="2">
        <v>123969686</v>
      </c>
      <c r="P26" s="2">
        <v>6452</v>
      </c>
    </row>
    <row r="27" spans="1:16" x14ac:dyDescent="0.25">
      <c r="A27" s="1">
        <v>43583</v>
      </c>
      <c r="B27" s="2">
        <v>400519073.44</v>
      </c>
      <c r="C27" s="2">
        <v>400519073.44</v>
      </c>
      <c r="D27" s="2">
        <v>593482</v>
      </c>
      <c r="E27" s="2">
        <v>16777095859.299999</v>
      </c>
      <c r="F27" s="2">
        <v>158.5</v>
      </c>
      <c r="G27" s="2">
        <v>5379894433</v>
      </c>
      <c r="H27" s="2">
        <v>13601.3125</v>
      </c>
      <c r="I27" s="2">
        <v>276.42498617799998</v>
      </c>
      <c r="J27" s="2" t="s">
        <v>2215</v>
      </c>
      <c r="K27" s="2">
        <v>0</v>
      </c>
      <c r="L27" s="2">
        <v>1.6809999999999999E-4</v>
      </c>
      <c r="M27" s="2">
        <v>1885095160510000</v>
      </c>
      <c r="N27" s="2">
        <v>240329</v>
      </c>
      <c r="O27" s="2">
        <v>114730316</v>
      </c>
      <c r="P27" s="2">
        <v>6389</v>
      </c>
    </row>
    <row r="28" spans="1:16" x14ac:dyDescent="0.25">
      <c r="A28" s="1">
        <v>43582</v>
      </c>
      <c r="B28" s="2">
        <v>337229578.50300002</v>
      </c>
      <c r="C28" s="2">
        <v>337229578.50300002</v>
      </c>
      <c r="D28" s="2">
        <v>562687</v>
      </c>
      <c r="E28" s="2">
        <v>16539956897.1</v>
      </c>
      <c r="F28" s="2">
        <v>156.27000000000001</v>
      </c>
      <c r="G28" s="2">
        <v>5863109118</v>
      </c>
      <c r="H28" s="2">
        <v>13687.375</v>
      </c>
      <c r="I28" s="2">
        <v>263.99982298899999</v>
      </c>
      <c r="J28" s="2" t="s">
        <v>2216</v>
      </c>
      <c r="K28" s="2">
        <v>0</v>
      </c>
      <c r="L28" s="2">
        <v>1.5583799999999999E-4</v>
      </c>
      <c r="M28" s="2">
        <v>1894070039820000</v>
      </c>
      <c r="N28" s="2">
        <v>230079</v>
      </c>
      <c r="O28" s="2">
        <v>106316589</v>
      </c>
      <c r="P28" s="2">
        <v>6476</v>
      </c>
    </row>
    <row r="29" spans="1:16" x14ac:dyDescent="0.25">
      <c r="A29" s="1">
        <v>43581</v>
      </c>
      <c r="B29" s="2">
        <v>775856651.61800003</v>
      </c>
      <c r="C29" s="2">
        <v>775856651.61800003</v>
      </c>
      <c r="D29" s="2">
        <v>661061</v>
      </c>
      <c r="E29" s="2">
        <v>16358155236</v>
      </c>
      <c r="F29" s="2">
        <v>154.58000000000001</v>
      </c>
      <c r="G29" s="2">
        <v>7505283355</v>
      </c>
      <c r="H29" s="2">
        <v>13757.4375</v>
      </c>
      <c r="I29" s="2">
        <v>407.86207077500001</v>
      </c>
      <c r="J29" s="2" t="s">
        <v>2217</v>
      </c>
      <c r="K29" s="2">
        <v>0</v>
      </c>
      <c r="L29" s="2">
        <v>2.3626349999999999E-4</v>
      </c>
      <c r="M29" s="2">
        <v>1848836660060000</v>
      </c>
      <c r="N29" s="2">
        <v>273984</v>
      </c>
      <c r="O29" s="2">
        <v>129213108</v>
      </c>
      <c r="P29" s="2">
        <v>6453</v>
      </c>
    </row>
    <row r="30" spans="1:16" x14ac:dyDescent="0.25">
      <c r="A30" s="1">
        <v>43580</v>
      </c>
      <c r="B30" s="2">
        <v>596293501.41700006</v>
      </c>
      <c r="C30" s="2">
        <v>596293501.41700006</v>
      </c>
      <c r="D30" s="2">
        <v>680812</v>
      </c>
      <c r="E30" s="2">
        <v>17555110435.5</v>
      </c>
      <c r="F30" s="2">
        <v>165.91</v>
      </c>
      <c r="G30" s="2">
        <v>6820332362</v>
      </c>
      <c r="H30" s="2">
        <v>13683.625</v>
      </c>
      <c r="I30" s="2">
        <v>318.58545387100003</v>
      </c>
      <c r="J30" s="2" t="s">
        <v>2218</v>
      </c>
      <c r="K30" s="2">
        <v>0</v>
      </c>
      <c r="L30" s="2">
        <v>2.0521225E-4</v>
      </c>
      <c r="M30" s="2">
        <v>1850592136530000</v>
      </c>
      <c r="N30" s="2">
        <v>277817</v>
      </c>
      <c r="O30" s="2">
        <v>130174525</v>
      </c>
      <c r="P30" s="2">
        <v>6466</v>
      </c>
    </row>
    <row r="31" spans="1:16" x14ac:dyDescent="0.25">
      <c r="A31" s="1">
        <v>43579</v>
      </c>
      <c r="B31" s="2">
        <v>660949746.68299997</v>
      </c>
      <c r="C31" s="2">
        <v>660949746.68299997</v>
      </c>
      <c r="D31" s="2">
        <v>668917</v>
      </c>
      <c r="E31" s="2">
        <v>18128019550.599998</v>
      </c>
      <c r="F31" s="2">
        <v>171.35</v>
      </c>
      <c r="G31" s="2">
        <v>7351304156</v>
      </c>
      <c r="H31" s="2">
        <v>13601.25</v>
      </c>
      <c r="I31" s="2">
        <v>368.62264967800002</v>
      </c>
      <c r="J31" s="2" t="s">
        <v>2219</v>
      </c>
      <c r="K31" s="2">
        <v>0</v>
      </c>
      <c r="L31" s="2">
        <v>2.27922E-4</v>
      </c>
      <c r="M31" s="2">
        <v>1853654210810000</v>
      </c>
      <c r="N31" s="2">
        <v>298069</v>
      </c>
      <c r="O31" s="2">
        <v>127896978</v>
      </c>
      <c r="P31" s="2">
        <v>6392</v>
      </c>
    </row>
    <row r="32" spans="1:16" x14ac:dyDescent="0.25">
      <c r="A32" s="1">
        <v>43578</v>
      </c>
      <c r="B32" s="2">
        <v>525029280.86000001</v>
      </c>
      <c r="C32" s="2">
        <v>525029280.86000001</v>
      </c>
      <c r="D32" s="2">
        <v>729268</v>
      </c>
      <c r="E32" s="2">
        <v>18195700944.900002</v>
      </c>
      <c r="F32" s="2">
        <v>172.01</v>
      </c>
      <c r="G32" s="2">
        <v>7097827092</v>
      </c>
      <c r="H32" s="2">
        <v>13539.875</v>
      </c>
      <c r="I32" s="2">
        <v>389.70071446700001</v>
      </c>
      <c r="J32" s="2" t="s">
        <v>2220</v>
      </c>
      <c r="K32" s="2">
        <v>0</v>
      </c>
      <c r="L32" s="2">
        <v>2.0740799999999999E-4</v>
      </c>
      <c r="M32" s="2">
        <v>1895956635640000</v>
      </c>
      <c r="N32" s="2">
        <v>311170</v>
      </c>
      <c r="O32" s="2">
        <v>138322884</v>
      </c>
      <c r="P32" s="2">
        <v>6296</v>
      </c>
    </row>
    <row r="33" spans="1:16" x14ac:dyDescent="0.25">
      <c r="A33" s="1">
        <v>43577</v>
      </c>
      <c r="B33" s="2">
        <v>448808781.72500002</v>
      </c>
      <c r="C33" s="2">
        <v>448808781.72500002</v>
      </c>
      <c r="D33" s="2">
        <v>719306</v>
      </c>
      <c r="E33" s="2">
        <v>17983611279.200001</v>
      </c>
      <c r="F33" s="2">
        <v>170.02</v>
      </c>
      <c r="G33" s="2">
        <v>6094878077</v>
      </c>
      <c r="H33" s="2">
        <v>13653.0625</v>
      </c>
      <c r="I33" s="2">
        <v>360.04481700000002</v>
      </c>
      <c r="J33" s="2" t="s">
        <v>2221</v>
      </c>
      <c r="K33" s="2">
        <v>0</v>
      </c>
      <c r="L33" s="2">
        <v>1.9755578125E-4</v>
      </c>
      <c r="M33" s="2">
        <v>1905395324440000</v>
      </c>
      <c r="N33" s="2">
        <v>302071</v>
      </c>
      <c r="O33" s="2">
        <v>135797447</v>
      </c>
      <c r="P33" s="2">
        <v>6429</v>
      </c>
    </row>
    <row r="34" spans="1:16" x14ac:dyDescent="0.25">
      <c r="A34" s="1">
        <v>43576</v>
      </c>
      <c r="B34" s="2">
        <v>374668227.02399999</v>
      </c>
      <c r="C34" s="2">
        <v>374668227.02399999</v>
      </c>
      <c r="D34" s="2">
        <v>631190</v>
      </c>
      <c r="E34" s="2">
        <v>18371722175.5</v>
      </c>
      <c r="F34" s="2">
        <v>173.72</v>
      </c>
      <c r="G34" s="2">
        <v>6005571688</v>
      </c>
      <c r="H34" s="2">
        <v>13721.875</v>
      </c>
      <c r="I34" s="2">
        <v>311.14100472600001</v>
      </c>
      <c r="J34" s="2" t="s">
        <v>2222</v>
      </c>
      <c r="K34" s="2">
        <v>0</v>
      </c>
      <c r="L34" s="2">
        <v>1.7394630000000001E-4</v>
      </c>
      <c r="M34" s="2">
        <v>1876835302460000</v>
      </c>
      <c r="N34" s="2">
        <v>258665</v>
      </c>
      <c r="O34" s="2">
        <v>134861180</v>
      </c>
      <c r="P34" s="2">
        <v>6462</v>
      </c>
    </row>
    <row r="35" spans="1:16" x14ac:dyDescent="0.25">
      <c r="A35" s="1">
        <v>43575</v>
      </c>
      <c r="B35" s="2">
        <v>368776951.736</v>
      </c>
      <c r="C35" s="2">
        <v>368776951.736</v>
      </c>
      <c r="D35" s="2">
        <v>686824</v>
      </c>
      <c r="E35" s="2">
        <v>18369850881.400002</v>
      </c>
      <c r="F35" s="2">
        <v>173.72</v>
      </c>
      <c r="G35" s="2">
        <v>6142567812</v>
      </c>
      <c r="H35" s="2">
        <v>13612.5625</v>
      </c>
      <c r="I35" s="2">
        <v>291.32661262800002</v>
      </c>
      <c r="J35" s="2" t="s">
        <v>2223</v>
      </c>
      <c r="K35" s="2">
        <v>0</v>
      </c>
      <c r="L35" s="2">
        <v>1.3713000000000001E-4</v>
      </c>
      <c r="M35" s="2">
        <v>1873586468910000</v>
      </c>
      <c r="N35" s="2">
        <v>249544</v>
      </c>
      <c r="O35" s="2">
        <v>128472576</v>
      </c>
      <c r="P35" s="2">
        <v>6370</v>
      </c>
    </row>
    <row r="36" spans="1:16" x14ac:dyDescent="0.25">
      <c r="A36" s="1">
        <v>43574</v>
      </c>
      <c r="B36" s="2">
        <v>475040994.40700001</v>
      </c>
      <c r="C36" s="2">
        <v>475040994.40700001</v>
      </c>
      <c r="D36" s="2">
        <v>693183</v>
      </c>
      <c r="E36" s="2">
        <v>18374588474.900002</v>
      </c>
      <c r="F36" s="2">
        <v>173.79</v>
      </c>
      <c r="G36" s="2">
        <v>6541053061</v>
      </c>
      <c r="H36" s="2">
        <v>13700.3125</v>
      </c>
      <c r="I36" s="2">
        <v>372.532128951</v>
      </c>
      <c r="J36" s="2" t="s">
        <v>2224</v>
      </c>
      <c r="K36" s="2">
        <v>0</v>
      </c>
      <c r="L36" s="2">
        <v>2.1000000000000001E-4</v>
      </c>
      <c r="M36" s="2">
        <v>1881713807380000</v>
      </c>
      <c r="N36" s="2">
        <v>271063</v>
      </c>
      <c r="O36" s="2">
        <v>134208063</v>
      </c>
      <c r="P36" s="2">
        <v>6449</v>
      </c>
    </row>
    <row r="37" spans="1:16" x14ac:dyDescent="0.25">
      <c r="A37" s="1">
        <v>43573</v>
      </c>
      <c r="B37" s="2">
        <v>491975699.87800002</v>
      </c>
      <c r="C37" s="2">
        <v>491975699.87800002</v>
      </c>
      <c r="D37" s="2">
        <v>697650</v>
      </c>
      <c r="E37" s="2">
        <v>17645456144.700001</v>
      </c>
      <c r="F37" s="2">
        <v>166.91</v>
      </c>
      <c r="G37" s="2">
        <v>6971581464</v>
      </c>
      <c r="H37" s="2">
        <v>13597.9375</v>
      </c>
      <c r="I37" s="2">
        <v>450.45766931200001</v>
      </c>
      <c r="J37" s="2" t="s">
        <v>2225</v>
      </c>
      <c r="K37" s="2">
        <v>0</v>
      </c>
      <c r="L37" s="2">
        <v>2.2677600000000001E-4</v>
      </c>
      <c r="M37" s="2">
        <v>1854242620010000</v>
      </c>
      <c r="N37" s="2">
        <v>273212</v>
      </c>
      <c r="O37" s="2">
        <v>135885045</v>
      </c>
      <c r="P37" s="2">
        <v>6406</v>
      </c>
    </row>
    <row r="38" spans="1:16" x14ac:dyDescent="0.25">
      <c r="A38" s="1">
        <v>43572</v>
      </c>
      <c r="B38" s="2">
        <v>437790627.51300001</v>
      </c>
      <c r="C38" s="2">
        <v>437790627.51300001</v>
      </c>
      <c r="D38" s="2">
        <v>681896</v>
      </c>
      <c r="E38" s="2">
        <v>17710507740.900002</v>
      </c>
      <c r="F38" s="2">
        <v>167.55</v>
      </c>
      <c r="G38" s="2">
        <v>5596102715</v>
      </c>
      <c r="H38" s="2">
        <v>13573.9375</v>
      </c>
      <c r="I38" s="2">
        <v>433.03593240599997</v>
      </c>
      <c r="J38" s="2" t="s">
        <v>2226</v>
      </c>
      <c r="K38" s="2">
        <v>0</v>
      </c>
      <c r="L38" s="2">
        <v>2.1000000000000001E-4</v>
      </c>
      <c r="M38" s="2">
        <v>1863101774510000</v>
      </c>
      <c r="N38" s="2">
        <v>267720</v>
      </c>
      <c r="O38" s="2">
        <v>133196686</v>
      </c>
      <c r="P38" s="2">
        <v>6381</v>
      </c>
    </row>
    <row r="39" spans="1:16" x14ac:dyDescent="0.25">
      <c r="A39" s="1">
        <v>43571</v>
      </c>
      <c r="B39" s="2">
        <v>400435543.30900002</v>
      </c>
      <c r="C39" s="2">
        <v>400435543.30900002</v>
      </c>
      <c r="D39" s="2">
        <v>656461</v>
      </c>
      <c r="E39" s="2">
        <v>17072255812.5</v>
      </c>
      <c r="F39" s="2">
        <v>161.53</v>
      </c>
      <c r="G39" s="2">
        <v>5180105341</v>
      </c>
      <c r="H39" s="2">
        <v>13659.3125</v>
      </c>
      <c r="I39" s="2">
        <v>412.88571853899998</v>
      </c>
      <c r="J39" s="2" t="s">
        <v>2227</v>
      </c>
      <c r="K39" s="2">
        <v>0</v>
      </c>
      <c r="L39" s="2">
        <v>2.1000000000000001E-4</v>
      </c>
      <c r="M39" s="2">
        <v>1896986117960000</v>
      </c>
      <c r="N39" s="2">
        <v>270935</v>
      </c>
      <c r="O39" s="2">
        <v>145383848</v>
      </c>
      <c r="P39" s="2">
        <v>6408</v>
      </c>
    </row>
    <row r="40" spans="1:16" x14ac:dyDescent="0.25">
      <c r="A40" s="1">
        <v>43570</v>
      </c>
      <c r="B40" s="2">
        <v>482865290.12800002</v>
      </c>
      <c r="C40" s="2">
        <v>482865290.12800002</v>
      </c>
      <c r="D40" s="2">
        <v>622058</v>
      </c>
      <c r="E40" s="2">
        <v>17743308477.799999</v>
      </c>
      <c r="F40" s="2">
        <v>167.9</v>
      </c>
      <c r="G40" s="2">
        <v>5672311824</v>
      </c>
      <c r="H40" s="2">
        <v>13709.1875</v>
      </c>
      <c r="I40" s="2">
        <v>354.37209425600003</v>
      </c>
      <c r="J40" s="2" t="s">
        <v>2228</v>
      </c>
      <c r="K40" s="2">
        <v>1.2594179E-2</v>
      </c>
      <c r="L40" s="2">
        <v>1.96264E-4</v>
      </c>
      <c r="M40" s="2">
        <v>1923712981920000</v>
      </c>
      <c r="N40" s="2">
        <v>278726</v>
      </c>
      <c r="O40" s="2">
        <v>138431909</v>
      </c>
      <c r="P40" s="2">
        <v>6443</v>
      </c>
    </row>
    <row r="41" spans="1:16" x14ac:dyDescent="0.25">
      <c r="A41" s="1">
        <v>43569</v>
      </c>
      <c r="B41" s="2">
        <v>309937993.79000002</v>
      </c>
      <c r="C41" s="2">
        <v>309937993.79000002</v>
      </c>
      <c r="D41" s="2">
        <v>551055</v>
      </c>
      <c r="E41" s="2">
        <v>17379031150.200001</v>
      </c>
      <c r="F41" s="2">
        <v>164.48</v>
      </c>
      <c r="G41" s="2">
        <v>4846298303</v>
      </c>
      <c r="H41" s="2">
        <v>13637.5625</v>
      </c>
      <c r="I41" s="2">
        <v>310.354655847</v>
      </c>
      <c r="J41" s="2" t="s">
        <v>2229</v>
      </c>
      <c r="K41" s="2">
        <v>0</v>
      </c>
      <c r="L41" s="2">
        <v>1.7238750000000001E-4</v>
      </c>
      <c r="M41" s="2">
        <v>1929568135170000</v>
      </c>
      <c r="N41" s="2">
        <v>230163</v>
      </c>
      <c r="O41" s="2">
        <v>109186255</v>
      </c>
      <c r="P41" s="2">
        <v>6422</v>
      </c>
    </row>
    <row r="42" spans="1:16" x14ac:dyDescent="0.25">
      <c r="A42" s="1">
        <v>43568</v>
      </c>
      <c r="B42" s="2">
        <v>276645568.042</v>
      </c>
      <c r="C42" s="2">
        <v>276645568.042</v>
      </c>
      <c r="D42" s="2">
        <v>614291</v>
      </c>
      <c r="E42" s="2">
        <v>17392089660.099998</v>
      </c>
      <c r="F42" s="2">
        <v>164.62</v>
      </c>
      <c r="G42" s="2">
        <v>4959301561</v>
      </c>
      <c r="H42" s="2">
        <v>13699.6875</v>
      </c>
      <c r="I42" s="2">
        <v>332.29517528000002</v>
      </c>
      <c r="J42" s="2" t="s">
        <v>2230</v>
      </c>
      <c r="K42" s="2">
        <v>1.90399492E-2</v>
      </c>
      <c r="L42" s="2">
        <v>2.1000000000000001E-4</v>
      </c>
      <c r="M42" s="2">
        <v>1898392758410000</v>
      </c>
      <c r="N42" s="2">
        <v>276592</v>
      </c>
      <c r="O42" s="2">
        <v>114107441</v>
      </c>
      <c r="P42" s="2">
        <v>6483</v>
      </c>
    </row>
    <row r="43" spans="1:16" x14ac:dyDescent="0.25">
      <c r="A43" s="1">
        <v>43567</v>
      </c>
      <c r="B43" s="2">
        <v>473349560.63300002</v>
      </c>
      <c r="C43" s="2">
        <v>473349560.63300002</v>
      </c>
      <c r="D43" s="2">
        <v>694793</v>
      </c>
      <c r="E43" s="2">
        <v>17465144664.799999</v>
      </c>
      <c r="F43" s="2">
        <v>165.34</v>
      </c>
      <c r="G43" s="2">
        <v>6237185309</v>
      </c>
      <c r="H43" s="2">
        <v>13586</v>
      </c>
      <c r="I43" s="2">
        <v>404.61399211899999</v>
      </c>
      <c r="J43" s="2" t="s">
        <v>2231</v>
      </c>
      <c r="K43" s="2">
        <v>7.8763511820000007E-2</v>
      </c>
      <c r="L43" s="2">
        <v>2.60163E-4</v>
      </c>
      <c r="M43" s="2">
        <v>1879058890860000</v>
      </c>
      <c r="N43" s="2">
        <v>328642</v>
      </c>
      <c r="O43" s="2">
        <v>130576703</v>
      </c>
      <c r="P43" s="2">
        <v>6420</v>
      </c>
    </row>
    <row r="44" spans="1:16" x14ac:dyDescent="0.25">
      <c r="A44" s="1">
        <v>43566</v>
      </c>
      <c r="B44" s="2">
        <v>578679414.88300002</v>
      </c>
      <c r="C44" s="2">
        <v>578679414.88300002</v>
      </c>
      <c r="D44" s="2">
        <v>729032</v>
      </c>
      <c r="E44" s="2">
        <v>18730400068</v>
      </c>
      <c r="F44" s="2">
        <v>177.34</v>
      </c>
      <c r="G44" s="2">
        <v>7859383417</v>
      </c>
      <c r="H44" s="2">
        <v>13565.5</v>
      </c>
      <c r="I44" s="2">
        <v>463.796051783</v>
      </c>
      <c r="J44" s="2" t="s">
        <v>2232</v>
      </c>
      <c r="K44" s="2">
        <v>0</v>
      </c>
      <c r="L44" s="2">
        <v>2.52E-4</v>
      </c>
      <c r="M44" s="2">
        <v>1894481921420000</v>
      </c>
      <c r="N44" s="2">
        <v>311274</v>
      </c>
      <c r="O44" s="2">
        <v>153982696</v>
      </c>
      <c r="P44" s="2">
        <v>6384</v>
      </c>
    </row>
    <row r="45" spans="1:16" x14ac:dyDescent="0.25">
      <c r="A45" s="1">
        <v>43565</v>
      </c>
      <c r="B45" s="2">
        <v>584330418.26800001</v>
      </c>
      <c r="C45" s="2">
        <v>584330418.26800001</v>
      </c>
      <c r="D45" s="2">
        <v>674070</v>
      </c>
      <c r="E45" s="2">
        <v>18593939929.5</v>
      </c>
      <c r="F45" s="2">
        <v>176.07</v>
      </c>
      <c r="G45" s="2">
        <v>7856924879</v>
      </c>
      <c r="H45" s="2">
        <v>13731.0625</v>
      </c>
      <c r="I45" s="2">
        <v>542.72876708900003</v>
      </c>
      <c r="J45" s="2" t="s">
        <v>2233</v>
      </c>
      <c r="K45" s="2">
        <v>0</v>
      </c>
      <c r="L45" s="2">
        <v>2.1000000000000001E-4</v>
      </c>
      <c r="M45" s="2">
        <v>1878252399410000</v>
      </c>
      <c r="N45" s="2">
        <v>283403</v>
      </c>
      <c r="O45" s="2">
        <v>145911685</v>
      </c>
      <c r="P45" s="2">
        <v>6455</v>
      </c>
    </row>
    <row r="46" spans="1:16" x14ac:dyDescent="0.25">
      <c r="A46" s="1">
        <v>43564</v>
      </c>
      <c r="B46" s="2">
        <v>677938014.98599994</v>
      </c>
      <c r="C46" s="2">
        <v>677938014.98599994</v>
      </c>
      <c r="D46" s="2">
        <v>656914</v>
      </c>
      <c r="E46" s="2">
        <v>19030495239.799999</v>
      </c>
      <c r="F46" s="2">
        <v>180.22</v>
      </c>
      <c r="G46" s="2">
        <v>7632529578</v>
      </c>
      <c r="H46" s="2">
        <v>13632.75</v>
      </c>
      <c r="I46" s="2">
        <v>397.35078549799999</v>
      </c>
      <c r="J46" s="2" t="s">
        <v>2234</v>
      </c>
      <c r="K46" s="2">
        <v>3.6044E-2</v>
      </c>
      <c r="L46" s="2">
        <v>2.1000000000000001E-4</v>
      </c>
      <c r="M46" s="2">
        <v>1851497756220000</v>
      </c>
      <c r="N46" s="2">
        <v>302149</v>
      </c>
      <c r="O46" s="2">
        <v>126141153</v>
      </c>
      <c r="P46" s="2">
        <v>6430</v>
      </c>
    </row>
    <row r="47" spans="1:16" x14ac:dyDescent="0.25">
      <c r="A47" s="1">
        <v>43563</v>
      </c>
      <c r="B47" s="2">
        <v>741205679.64100003</v>
      </c>
      <c r="C47" s="2">
        <v>741205679.64100003</v>
      </c>
      <c r="D47" s="2">
        <v>668000</v>
      </c>
      <c r="E47" s="2">
        <v>18418227358.200001</v>
      </c>
      <c r="F47" s="2">
        <v>174.45</v>
      </c>
      <c r="G47" s="2">
        <v>9304964610</v>
      </c>
      <c r="H47" s="2">
        <v>13718.75</v>
      </c>
      <c r="I47" s="2">
        <v>449.94524519700002</v>
      </c>
      <c r="J47" s="2" t="s">
        <v>2235</v>
      </c>
      <c r="K47" s="2">
        <v>4.2688263900000002E-2</v>
      </c>
      <c r="L47" s="2">
        <v>2.2389E-4</v>
      </c>
      <c r="M47" s="2">
        <v>1825616819130000</v>
      </c>
      <c r="N47" s="2">
        <v>303899</v>
      </c>
      <c r="O47" s="2">
        <v>130270380</v>
      </c>
      <c r="P47" s="2">
        <v>6441</v>
      </c>
    </row>
    <row r="48" spans="1:16" x14ac:dyDescent="0.25">
      <c r="A48" s="1">
        <v>43562</v>
      </c>
      <c r="B48" s="2">
        <v>436630690.67699999</v>
      </c>
      <c r="C48" s="2">
        <v>436630690.67699999</v>
      </c>
      <c r="D48" s="2">
        <v>572886</v>
      </c>
      <c r="E48" s="2">
        <v>17521980522.5</v>
      </c>
      <c r="F48" s="2">
        <v>165.98</v>
      </c>
      <c r="G48" s="2">
        <v>7596176020</v>
      </c>
      <c r="H48" s="2">
        <v>13676.6875</v>
      </c>
      <c r="I48" s="2">
        <v>352.48861420999998</v>
      </c>
      <c r="J48" s="2" t="s">
        <v>2236</v>
      </c>
      <c r="K48" s="2">
        <v>3.1234837445899999E-2</v>
      </c>
      <c r="L48" s="2">
        <v>1.9181999999999999E-4</v>
      </c>
      <c r="M48" s="2">
        <v>1823189489120000</v>
      </c>
      <c r="N48" s="2">
        <v>259860</v>
      </c>
      <c r="O48" s="2">
        <v>114181212</v>
      </c>
      <c r="P48" s="2">
        <v>6476</v>
      </c>
    </row>
    <row r="49" spans="1:16" x14ac:dyDescent="0.25">
      <c r="A49" s="1">
        <v>43561</v>
      </c>
      <c r="B49" s="2">
        <v>336750676.71700001</v>
      </c>
      <c r="C49" s="2">
        <v>336750676.71700001</v>
      </c>
      <c r="D49" s="2">
        <v>559039</v>
      </c>
      <c r="E49" s="2">
        <v>17469640618.200001</v>
      </c>
      <c r="F49" s="2">
        <v>165.51</v>
      </c>
      <c r="G49" s="2">
        <v>7167016221</v>
      </c>
      <c r="H49" s="2">
        <v>13608.8125</v>
      </c>
      <c r="I49" s="2">
        <v>344.123749928</v>
      </c>
      <c r="J49" s="2" t="s">
        <v>2237</v>
      </c>
      <c r="K49" s="2">
        <v>0</v>
      </c>
      <c r="L49" s="2">
        <v>1.93272E-4</v>
      </c>
      <c r="M49" s="2">
        <v>1843194255330000</v>
      </c>
      <c r="N49" s="2">
        <v>242702</v>
      </c>
      <c r="O49" s="2">
        <v>109776400</v>
      </c>
      <c r="P49" s="2">
        <v>6452</v>
      </c>
    </row>
    <row r="50" spans="1:16" x14ac:dyDescent="0.25">
      <c r="A50" s="1">
        <v>43560</v>
      </c>
      <c r="B50" s="2">
        <v>484298747.333</v>
      </c>
      <c r="C50" s="2">
        <v>484298747.333</v>
      </c>
      <c r="D50" s="2">
        <v>621924</v>
      </c>
      <c r="E50" s="2">
        <v>16677686276.6</v>
      </c>
      <c r="F50" s="2">
        <v>158.02000000000001</v>
      </c>
      <c r="G50" s="2">
        <v>7531316908</v>
      </c>
      <c r="H50" s="2">
        <v>13642.0625</v>
      </c>
      <c r="I50" s="2">
        <v>393.31903637599999</v>
      </c>
      <c r="J50" s="2" t="s">
        <v>2238</v>
      </c>
      <c r="K50" s="2">
        <v>0</v>
      </c>
      <c r="L50" s="2">
        <v>2.18886E-4</v>
      </c>
      <c r="M50" s="2">
        <v>1821339903380000</v>
      </c>
      <c r="N50" s="2">
        <v>266712</v>
      </c>
      <c r="O50" s="2">
        <v>123780236</v>
      </c>
      <c r="P50" s="2">
        <v>6427</v>
      </c>
    </row>
    <row r="51" spans="1:16" x14ac:dyDescent="0.25">
      <c r="A51" s="1">
        <v>43559</v>
      </c>
      <c r="B51" s="2">
        <v>525820091.84799999</v>
      </c>
      <c r="C51" s="2">
        <v>525820091.84799999</v>
      </c>
      <c r="D51" s="2">
        <v>673520</v>
      </c>
      <c r="E51" s="2">
        <v>17035157168.9</v>
      </c>
      <c r="F51" s="2">
        <v>161.43</v>
      </c>
      <c r="G51" s="2">
        <v>7953123529</v>
      </c>
      <c r="H51" s="2">
        <v>13731.1875</v>
      </c>
      <c r="I51" s="2">
        <v>505.04070281600002</v>
      </c>
      <c r="J51" s="2" t="s">
        <v>2239</v>
      </c>
      <c r="K51" s="2">
        <v>0</v>
      </c>
      <c r="L51" s="2">
        <v>2.9280799999999998E-4</v>
      </c>
      <c r="M51" s="2">
        <v>1819524026770000</v>
      </c>
      <c r="N51" s="2">
        <v>269373</v>
      </c>
      <c r="O51" s="2">
        <v>139601362</v>
      </c>
      <c r="P51" s="2">
        <v>6406</v>
      </c>
    </row>
    <row r="52" spans="1:16" x14ac:dyDescent="0.25">
      <c r="A52" s="1">
        <v>43558</v>
      </c>
      <c r="B52" s="2">
        <v>759840389.20299995</v>
      </c>
      <c r="C52" s="2">
        <v>759840389.20299995</v>
      </c>
      <c r="D52" s="2">
        <v>746605</v>
      </c>
      <c r="E52" s="2">
        <v>17304754995.200001</v>
      </c>
      <c r="F52" s="2">
        <v>164.01</v>
      </c>
      <c r="G52" s="2">
        <v>10622456246</v>
      </c>
      <c r="H52" s="2">
        <v>13551.9375</v>
      </c>
      <c r="I52" s="2">
        <v>666.42204903300001</v>
      </c>
      <c r="J52" s="2" t="s">
        <v>2240</v>
      </c>
      <c r="K52" s="2">
        <v>0</v>
      </c>
      <c r="L52" s="2">
        <v>3.7786500000000002E-4</v>
      </c>
      <c r="M52" s="2">
        <v>1788931574780000</v>
      </c>
      <c r="N52" s="2">
        <v>325878</v>
      </c>
      <c r="O52" s="2">
        <v>146648146</v>
      </c>
      <c r="P52" s="2">
        <v>6336</v>
      </c>
    </row>
    <row r="53" spans="1:16" x14ac:dyDescent="0.25">
      <c r="A53" s="1">
        <v>43557</v>
      </c>
      <c r="B53" s="2">
        <v>673664238.80499995</v>
      </c>
      <c r="C53" s="2">
        <v>673664238.80499995</v>
      </c>
      <c r="D53" s="2">
        <v>758900</v>
      </c>
      <c r="E53" s="2">
        <v>14963940377.200001</v>
      </c>
      <c r="F53" s="2">
        <v>141.84</v>
      </c>
      <c r="G53" s="2">
        <v>9826645698</v>
      </c>
      <c r="H53" s="2">
        <v>13619.3125</v>
      </c>
      <c r="I53" s="2">
        <v>563.93919961899996</v>
      </c>
      <c r="J53" s="2" t="s">
        <v>2241</v>
      </c>
      <c r="K53" s="2">
        <v>0</v>
      </c>
      <c r="L53" s="2">
        <v>2.8276000000000001E-4</v>
      </c>
      <c r="M53" s="2">
        <v>1796568273620000</v>
      </c>
      <c r="N53" s="2">
        <v>336937</v>
      </c>
      <c r="O53" s="2">
        <v>146613384</v>
      </c>
      <c r="P53" s="2">
        <v>6357</v>
      </c>
    </row>
    <row r="54" spans="1:16" x14ac:dyDescent="0.25">
      <c r="A54" s="1">
        <v>43556</v>
      </c>
      <c r="B54" s="2">
        <v>379022588.22899997</v>
      </c>
      <c r="C54" s="2">
        <v>379022588.22899997</v>
      </c>
      <c r="D54" s="2">
        <v>687574</v>
      </c>
      <c r="E54" s="2">
        <v>14922854536.9</v>
      </c>
      <c r="F54" s="2">
        <v>141.47</v>
      </c>
      <c r="G54" s="2">
        <v>4611999536</v>
      </c>
      <c r="H54" s="2">
        <v>13695.5625</v>
      </c>
      <c r="I54" s="2">
        <v>489.84058336200002</v>
      </c>
      <c r="J54" s="2" t="s">
        <v>2242</v>
      </c>
      <c r="K54" s="2">
        <v>0</v>
      </c>
      <c r="L54" s="2">
        <v>2.1000000000000001E-4</v>
      </c>
      <c r="M54" s="2">
        <v>1809756338440000</v>
      </c>
      <c r="N54" s="2">
        <v>295798</v>
      </c>
      <c r="O54" s="2">
        <v>131555117</v>
      </c>
      <c r="P54" s="2">
        <v>6420</v>
      </c>
    </row>
    <row r="55" spans="1:16" x14ac:dyDescent="0.25">
      <c r="A55" s="1">
        <v>43555</v>
      </c>
      <c r="B55" s="2">
        <v>335615871.17400002</v>
      </c>
      <c r="C55" s="2">
        <v>335615871.17400002</v>
      </c>
      <c r="D55" s="2">
        <v>646230</v>
      </c>
      <c r="E55" s="2">
        <v>14991981344.700001</v>
      </c>
      <c r="F55" s="2">
        <v>142.13999999999999</v>
      </c>
      <c r="G55" s="2">
        <v>4249050197</v>
      </c>
      <c r="H55" s="2">
        <v>13659.1875</v>
      </c>
      <c r="I55" s="2">
        <v>391.44684141699997</v>
      </c>
      <c r="J55" s="2" t="s">
        <v>2243</v>
      </c>
      <c r="K55" s="2">
        <v>0</v>
      </c>
      <c r="L55" s="2">
        <v>1.968192E-4</v>
      </c>
      <c r="M55" s="2">
        <v>1721429556440000</v>
      </c>
      <c r="N55" s="2">
        <v>228453</v>
      </c>
      <c r="O55" s="2">
        <v>128049875</v>
      </c>
      <c r="P55" s="2">
        <v>6417</v>
      </c>
    </row>
    <row r="56" spans="1:16" x14ac:dyDescent="0.25">
      <c r="A56" s="1">
        <v>43554</v>
      </c>
      <c r="B56" s="2">
        <v>391044319.63599998</v>
      </c>
      <c r="C56" s="2">
        <v>391044319.63599998</v>
      </c>
      <c r="D56" s="2">
        <v>667967</v>
      </c>
      <c r="E56" s="2">
        <v>15013089250.6</v>
      </c>
      <c r="F56" s="2">
        <v>142.36000000000001</v>
      </c>
      <c r="G56" s="2">
        <v>5144662127</v>
      </c>
      <c r="H56" s="2">
        <v>13591.3125</v>
      </c>
      <c r="I56" s="2">
        <v>383.162137229</v>
      </c>
      <c r="J56" s="2" t="s">
        <v>2244</v>
      </c>
      <c r="K56" s="2">
        <v>0</v>
      </c>
      <c r="L56" s="2">
        <v>2.1000000000000001E-4</v>
      </c>
      <c r="M56" s="2">
        <v>1716959438040000</v>
      </c>
      <c r="N56" s="2">
        <v>243252</v>
      </c>
      <c r="O56" s="2">
        <v>131974093</v>
      </c>
      <c r="P56" s="2">
        <v>6371</v>
      </c>
    </row>
    <row r="57" spans="1:16" x14ac:dyDescent="0.25">
      <c r="A57" s="1">
        <v>43553</v>
      </c>
      <c r="B57" s="2">
        <v>402895844.01899999</v>
      </c>
      <c r="C57" s="2">
        <v>402895844.01899999</v>
      </c>
      <c r="D57" s="2">
        <v>640352</v>
      </c>
      <c r="E57" s="2">
        <v>14692167652.6</v>
      </c>
      <c r="F57" s="2">
        <v>139.34</v>
      </c>
      <c r="G57" s="2">
        <v>5125602702</v>
      </c>
      <c r="H57" s="2">
        <v>13538.9375</v>
      </c>
      <c r="I57" s="2">
        <v>488.68208168400002</v>
      </c>
      <c r="J57" s="2" t="s">
        <v>2245</v>
      </c>
      <c r="K57" s="2">
        <v>0</v>
      </c>
      <c r="L57" s="2">
        <v>2.3194399999999999E-4</v>
      </c>
      <c r="M57" s="2">
        <v>1791437241370000</v>
      </c>
      <c r="N57" s="2">
        <v>250791</v>
      </c>
      <c r="O57" s="2">
        <v>133428652</v>
      </c>
      <c r="P57" s="2">
        <v>6369</v>
      </c>
    </row>
    <row r="58" spans="1:16" x14ac:dyDescent="0.25">
      <c r="A58" s="1">
        <v>43552</v>
      </c>
      <c r="B58" s="2">
        <v>363302043.07599998</v>
      </c>
      <c r="C58" s="2">
        <v>363302043.07599998</v>
      </c>
      <c r="D58" s="2">
        <v>634367</v>
      </c>
      <c r="E58" s="2">
        <v>14866238269.700001</v>
      </c>
      <c r="F58" s="2">
        <v>141.01</v>
      </c>
      <c r="G58" s="2">
        <v>4163212475</v>
      </c>
      <c r="H58" s="2">
        <v>13598.375</v>
      </c>
      <c r="I58" s="2">
        <v>434.039074008</v>
      </c>
      <c r="J58" s="2" t="s">
        <v>2246</v>
      </c>
      <c r="K58" s="2">
        <v>0</v>
      </c>
      <c r="L58" s="2">
        <v>2.1210000000000001E-4</v>
      </c>
      <c r="M58" s="2">
        <v>1775233173300000</v>
      </c>
      <c r="N58" s="2">
        <v>255247</v>
      </c>
      <c r="O58" s="2">
        <v>125672174</v>
      </c>
      <c r="P58" s="2">
        <v>6373</v>
      </c>
    </row>
    <row r="59" spans="1:16" x14ac:dyDescent="0.25">
      <c r="A59" s="1">
        <v>43551</v>
      </c>
      <c r="B59" s="2">
        <v>344644713.583</v>
      </c>
      <c r="C59" s="2">
        <v>344644713.583</v>
      </c>
      <c r="D59" s="2">
        <v>625948</v>
      </c>
      <c r="E59" s="2">
        <v>14278397960.1</v>
      </c>
      <c r="F59" s="2">
        <v>135.44999999999999</v>
      </c>
      <c r="G59" s="2">
        <v>5228240093</v>
      </c>
      <c r="H59" s="2">
        <v>13736.0625</v>
      </c>
      <c r="I59" s="2">
        <v>501.63608628499998</v>
      </c>
      <c r="J59" s="2" t="s">
        <v>2247</v>
      </c>
      <c r="K59" s="2">
        <v>0</v>
      </c>
      <c r="L59" s="2">
        <v>2.3639399999999999E-4</v>
      </c>
      <c r="M59" s="2">
        <v>1761299986730000</v>
      </c>
      <c r="N59" s="2">
        <v>250487</v>
      </c>
      <c r="O59" s="2">
        <v>130413725</v>
      </c>
      <c r="P59" s="2">
        <v>6458</v>
      </c>
    </row>
    <row r="60" spans="1:16" x14ac:dyDescent="0.25">
      <c r="A60" s="1">
        <v>43550</v>
      </c>
      <c r="B60" s="2">
        <v>382117274.72399998</v>
      </c>
      <c r="C60" s="2">
        <v>382117274.72399998</v>
      </c>
      <c r="D60" s="2">
        <v>629010</v>
      </c>
      <c r="E60" s="2">
        <v>14234601260.299999</v>
      </c>
      <c r="F60" s="2">
        <v>135.05000000000001</v>
      </c>
      <c r="G60" s="2">
        <v>4499271679</v>
      </c>
      <c r="H60" s="2">
        <v>13553.8125</v>
      </c>
      <c r="I60" s="2">
        <v>456.06475570499998</v>
      </c>
      <c r="J60" s="2" t="s">
        <v>2248</v>
      </c>
      <c r="K60" s="2">
        <v>1.3505E-4</v>
      </c>
      <c r="L60" s="2">
        <v>2.1964050000000001E-4</v>
      </c>
      <c r="M60" s="2">
        <v>1794096152190000</v>
      </c>
      <c r="N60" s="2">
        <v>268362</v>
      </c>
      <c r="O60" s="2">
        <v>129661499</v>
      </c>
      <c r="P60" s="2">
        <v>6358</v>
      </c>
    </row>
    <row r="61" spans="1:16" x14ac:dyDescent="0.25">
      <c r="A61" s="1">
        <v>43549</v>
      </c>
      <c r="B61" s="2">
        <v>425343919.042</v>
      </c>
      <c r="C61" s="2">
        <v>425343919.042</v>
      </c>
      <c r="D61" s="2">
        <v>648670</v>
      </c>
      <c r="E61" s="2">
        <v>14446781456.5</v>
      </c>
      <c r="F61" s="2">
        <v>137.08000000000001</v>
      </c>
      <c r="G61" s="2">
        <v>4480516753</v>
      </c>
      <c r="H61" s="2">
        <v>13633.125</v>
      </c>
      <c r="I61" s="2">
        <v>438.34107394099999</v>
      </c>
      <c r="J61" s="2" t="s">
        <v>2249</v>
      </c>
      <c r="K61" s="2">
        <v>0</v>
      </c>
      <c r="L61" s="2">
        <v>2.21710300597E-4</v>
      </c>
      <c r="M61" s="2">
        <v>1843360821780000</v>
      </c>
      <c r="N61" s="2">
        <v>278143</v>
      </c>
      <c r="O61" s="2">
        <v>128715503</v>
      </c>
      <c r="P61" s="2">
        <v>6429</v>
      </c>
    </row>
    <row r="62" spans="1:16" x14ac:dyDescent="0.25">
      <c r="A62" s="1">
        <v>43548</v>
      </c>
      <c r="B62" s="2">
        <v>276967072.167</v>
      </c>
      <c r="C62" s="2">
        <v>276967072.167</v>
      </c>
      <c r="D62" s="2">
        <v>549073</v>
      </c>
      <c r="E62" s="2">
        <v>14575140922.799999</v>
      </c>
      <c r="F62" s="2">
        <v>138.32</v>
      </c>
      <c r="G62" s="2">
        <v>4266845458</v>
      </c>
      <c r="H62" s="2">
        <v>13625.5</v>
      </c>
      <c r="I62" s="2">
        <v>347.35448530100001</v>
      </c>
      <c r="J62" s="2" t="s">
        <v>2250</v>
      </c>
      <c r="K62" s="2">
        <v>0</v>
      </c>
      <c r="L62" s="2">
        <v>2.03823E-4</v>
      </c>
      <c r="M62" s="2">
        <v>1846681856580000</v>
      </c>
      <c r="N62" s="2">
        <v>226588</v>
      </c>
      <c r="O62" s="2">
        <v>108947199</v>
      </c>
      <c r="P62" s="2">
        <v>6432</v>
      </c>
    </row>
    <row r="63" spans="1:16" x14ac:dyDescent="0.25">
      <c r="A63" s="1">
        <v>43547</v>
      </c>
      <c r="B63" s="2">
        <v>370773448.46899998</v>
      </c>
      <c r="C63" s="2">
        <v>370773448.46899998</v>
      </c>
      <c r="D63" s="2">
        <v>561778</v>
      </c>
      <c r="E63" s="2">
        <v>14438709820.9</v>
      </c>
      <c r="F63" s="2">
        <v>137.04</v>
      </c>
      <c r="G63" s="2">
        <v>4436568613</v>
      </c>
      <c r="H63" s="2">
        <v>13716</v>
      </c>
      <c r="I63" s="2">
        <v>349.00255710300002</v>
      </c>
      <c r="J63" s="2" t="s">
        <v>2251</v>
      </c>
      <c r="K63" s="2">
        <v>0</v>
      </c>
      <c r="L63" s="2">
        <v>1.96264E-4</v>
      </c>
      <c r="M63" s="2">
        <v>1833592266160000</v>
      </c>
      <c r="N63" s="2">
        <v>229784</v>
      </c>
      <c r="O63" s="2">
        <v>111614997</v>
      </c>
      <c r="P63" s="2">
        <v>6431</v>
      </c>
    </row>
    <row r="64" spans="1:16" x14ac:dyDescent="0.25">
      <c r="A64" s="1">
        <v>43546</v>
      </c>
      <c r="B64" s="2">
        <v>320048616.19800001</v>
      </c>
      <c r="C64" s="2">
        <v>320048616.19800001</v>
      </c>
      <c r="D64" s="2">
        <v>628700</v>
      </c>
      <c r="E64" s="2">
        <v>14386423896.4</v>
      </c>
      <c r="F64" s="2">
        <v>136.56</v>
      </c>
      <c r="G64" s="2">
        <v>4490899266</v>
      </c>
      <c r="H64" s="2">
        <v>13610</v>
      </c>
      <c r="I64" s="2">
        <v>461.51686861500002</v>
      </c>
      <c r="J64" s="2" t="s">
        <v>2252</v>
      </c>
      <c r="K64" s="2">
        <v>0</v>
      </c>
      <c r="L64" s="2">
        <v>2.1000000000000001E-4</v>
      </c>
      <c r="M64" s="2">
        <v>1842031209460000</v>
      </c>
      <c r="N64" s="2">
        <v>254015</v>
      </c>
      <c r="O64" s="2">
        <v>127034930</v>
      </c>
      <c r="P64" s="2">
        <v>6409</v>
      </c>
    </row>
    <row r="65" spans="1:16" x14ac:dyDescent="0.25">
      <c r="A65" s="1">
        <v>43545</v>
      </c>
      <c r="B65" s="2">
        <v>409634427.67199999</v>
      </c>
      <c r="C65" s="2">
        <v>409634427.67199999</v>
      </c>
      <c r="D65" s="2">
        <v>618318</v>
      </c>
      <c r="E65" s="2">
        <v>14796898879</v>
      </c>
      <c r="F65" s="2">
        <v>140.47999999999999</v>
      </c>
      <c r="G65" s="2">
        <v>5087247796</v>
      </c>
      <c r="H65" s="2">
        <v>13582.5</v>
      </c>
      <c r="I65" s="2">
        <v>566.02647814299996</v>
      </c>
      <c r="J65" s="2" t="s">
        <v>2253</v>
      </c>
      <c r="K65" s="2">
        <v>0</v>
      </c>
      <c r="L65" s="2">
        <v>2.6111E-4</v>
      </c>
      <c r="M65" s="2">
        <v>1861645568460000</v>
      </c>
      <c r="N65" s="2">
        <v>234631</v>
      </c>
      <c r="O65" s="2">
        <v>128883588</v>
      </c>
      <c r="P65" s="2">
        <v>6372</v>
      </c>
    </row>
    <row r="66" spans="1:16" x14ac:dyDescent="0.25">
      <c r="A66" s="1">
        <v>43544</v>
      </c>
      <c r="B66" s="2">
        <v>443800838.98699999</v>
      </c>
      <c r="C66" s="2">
        <v>443800838.98699999</v>
      </c>
      <c r="D66" s="2">
        <v>630313</v>
      </c>
      <c r="E66" s="2">
        <v>14795034651.799999</v>
      </c>
      <c r="F66" s="2">
        <v>140.47999999999999</v>
      </c>
      <c r="G66" s="2">
        <v>4664134462</v>
      </c>
      <c r="H66" s="2">
        <v>13756</v>
      </c>
      <c r="I66" s="2">
        <v>390.60527001999998</v>
      </c>
      <c r="J66" s="2" t="s">
        <v>2254</v>
      </c>
      <c r="K66" s="2">
        <v>0</v>
      </c>
      <c r="L66" s="2">
        <v>2.1000000000000001E-4</v>
      </c>
      <c r="M66" s="2">
        <v>1866011634430000</v>
      </c>
      <c r="N66" s="2">
        <v>253335</v>
      </c>
      <c r="O66" s="2">
        <v>127430234</v>
      </c>
      <c r="P66" s="2">
        <v>6475</v>
      </c>
    </row>
    <row r="67" spans="1:16" x14ac:dyDescent="0.25">
      <c r="A67" s="1">
        <v>43543</v>
      </c>
      <c r="B67" s="2">
        <v>291876039.926</v>
      </c>
      <c r="C67" s="2">
        <v>291876039.926</v>
      </c>
      <c r="D67" s="2">
        <v>635940</v>
      </c>
      <c r="E67" s="2">
        <v>14663873649.1</v>
      </c>
      <c r="F67" s="2">
        <v>139.25</v>
      </c>
      <c r="G67" s="2">
        <v>4251488129</v>
      </c>
      <c r="H67" s="2">
        <v>13620.75</v>
      </c>
      <c r="I67" s="2">
        <v>432.02012582700002</v>
      </c>
      <c r="J67" s="2" t="s">
        <v>2255</v>
      </c>
      <c r="K67" s="2">
        <v>0</v>
      </c>
      <c r="L67" s="2">
        <v>2.9992000000000002E-4</v>
      </c>
      <c r="M67" s="2">
        <v>1809207314500000</v>
      </c>
      <c r="N67" s="2">
        <v>235379</v>
      </c>
      <c r="O67" s="2">
        <v>135819281</v>
      </c>
      <c r="P67" s="2">
        <v>6416</v>
      </c>
    </row>
    <row r="68" spans="1:16" x14ac:dyDescent="0.25">
      <c r="A68" s="1">
        <v>43542</v>
      </c>
      <c r="B68" s="2">
        <v>407379403.67799997</v>
      </c>
      <c r="C68" s="2">
        <v>407379403.67799997</v>
      </c>
      <c r="D68" s="2">
        <v>573940</v>
      </c>
      <c r="E68" s="2">
        <v>14752047580.299999</v>
      </c>
      <c r="F68" s="2">
        <v>140.1</v>
      </c>
      <c r="G68" s="2">
        <v>4551739879</v>
      </c>
      <c r="H68" s="2">
        <v>13480.4375</v>
      </c>
      <c r="I68" s="2">
        <v>2581.2405090900002</v>
      </c>
      <c r="J68" s="2" t="s">
        <v>2256</v>
      </c>
      <c r="K68" s="2">
        <v>0</v>
      </c>
      <c r="L68" s="2">
        <v>2.1306799999999999E-4</v>
      </c>
      <c r="M68" s="2">
        <v>1883179674550000</v>
      </c>
      <c r="N68" s="2">
        <v>233975</v>
      </c>
      <c r="O68" s="2">
        <v>123422431</v>
      </c>
      <c r="P68" s="2">
        <v>6368</v>
      </c>
    </row>
    <row r="69" spans="1:16" x14ac:dyDescent="0.25">
      <c r="A69" s="1">
        <v>43541</v>
      </c>
      <c r="B69" s="2">
        <v>282466632.82700002</v>
      </c>
      <c r="C69" s="2">
        <v>282466632.82700002</v>
      </c>
      <c r="D69" s="2">
        <v>494872</v>
      </c>
      <c r="E69" s="2">
        <v>14975028822.6</v>
      </c>
      <c r="F69" s="2">
        <v>142.24</v>
      </c>
      <c r="G69" s="2">
        <v>3827157729</v>
      </c>
      <c r="H69" s="2">
        <v>13572.5</v>
      </c>
      <c r="I69" s="2">
        <v>310.67066016000001</v>
      </c>
      <c r="J69" s="2" t="s">
        <v>2257</v>
      </c>
      <c r="K69" s="2">
        <v>0</v>
      </c>
      <c r="L69" s="2">
        <v>1.9409129999999999E-4</v>
      </c>
      <c r="M69" s="2">
        <v>1901660652810000</v>
      </c>
      <c r="N69" s="2">
        <v>197062</v>
      </c>
      <c r="O69" s="2">
        <v>98349866</v>
      </c>
      <c r="P69" s="2">
        <v>6415</v>
      </c>
    </row>
    <row r="70" spans="1:16" x14ac:dyDescent="0.25">
      <c r="A70" s="1">
        <v>43540</v>
      </c>
      <c r="B70" s="2">
        <v>305945542.56400001</v>
      </c>
      <c r="C70" s="2">
        <v>305945542.56400001</v>
      </c>
      <c r="D70" s="2">
        <v>504183</v>
      </c>
      <c r="E70" s="2">
        <v>14517053044.4</v>
      </c>
      <c r="F70" s="2">
        <v>137.91</v>
      </c>
      <c r="G70" s="2">
        <v>4839003569</v>
      </c>
      <c r="H70" s="2">
        <v>13813.8125</v>
      </c>
      <c r="I70" s="2">
        <v>273.07119458599999</v>
      </c>
      <c r="J70" s="2" t="s">
        <v>2258</v>
      </c>
      <c r="K70" s="2">
        <v>0</v>
      </c>
      <c r="L70" s="2">
        <v>2.1000000000000001E-4</v>
      </c>
      <c r="M70" s="2">
        <v>1892599435480000</v>
      </c>
      <c r="N70" s="2">
        <v>204353</v>
      </c>
      <c r="O70" s="2">
        <v>105926338</v>
      </c>
      <c r="P70" s="2">
        <v>6511</v>
      </c>
    </row>
    <row r="71" spans="1:16" x14ac:dyDescent="0.25">
      <c r="A71" s="1">
        <v>43539</v>
      </c>
      <c r="B71" s="2">
        <v>323540977.44400001</v>
      </c>
      <c r="C71" s="2">
        <v>323540977.44400001</v>
      </c>
      <c r="D71" s="2">
        <v>553012</v>
      </c>
      <c r="E71" s="2">
        <v>14058719827.700001</v>
      </c>
      <c r="F71" s="2">
        <v>133.57</v>
      </c>
      <c r="G71" s="2">
        <v>4506861856</v>
      </c>
      <c r="H71" s="2">
        <v>13557.0625</v>
      </c>
      <c r="I71" s="2">
        <v>331.674074077</v>
      </c>
      <c r="J71" s="2" t="s">
        <v>2259</v>
      </c>
      <c r="K71" s="2">
        <v>0</v>
      </c>
      <c r="L71" s="2">
        <v>2.1000000000000001E-4</v>
      </c>
      <c r="M71" s="2">
        <v>1859098697850000</v>
      </c>
      <c r="N71" s="2">
        <v>224342</v>
      </c>
      <c r="O71" s="2">
        <v>115133253</v>
      </c>
      <c r="P71" s="2">
        <v>6424</v>
      </c>
    </row>
    <row r="72" spans="1:16" x14ac:dyDescent="0.25">
      <c r="A72" s="1">
        <v>43538</v>
      </c>
      <c r="B72" s="2">
        <v>336403972.93199998</v>
      </c>
      <c r="C72" s="2">
        <v>336403972.93199998</v>
      </c>
      <c r="D72" s="2">
        <v>573828</v>
      </c>
      <c r="E72" s="2">
        <v>14017955711.1</v>
      </c>
      <c r="F72" s="2">
        <v>133.19999999999999</v>
      </c>
      <c r="G72" s="2">
        <v>4476532147</v>
      </c>
      <c r="H72" s="2">
        <v>13623.3125</v>
      </c>
      <c r="I72" s="2">
        <v>322.99207677800001</v>
      </c>
      <c r="J72" s="2" t="s">
        <v>2260</v>
      </c>
      <c r="K72" s="2">
        <v>0</v>
      </c>
      <c r="L72" s="2">
        <v>1.960101E-4</v>
      </c>
      <c r="M72" s="2">
        <v>1852578644600000</v>
      </c>
      <c r="N72" s="2">
        <v>227705</v>
      </c>
      <c r="O72" s="2">
        <v>118714631</v>
      </c>
      <c r="P72" s="2">
        <v>6422</v>
      </c>
    </row>
    <row r="73" spans="1:16" x14ac:dyDescent="0.25">
      <c r="A73" s="1">
        <v>43537</v>
      </c>
      <c r="B73" s="2">
        <v>299653871.86699998</v>
      </c>
      <c r="C73" s="2">
        <v>299653871.86699998</v>
      </c>
      <c r="D73" s="2">
        <v>573281</v>
      </c>
      <c r="E73" s="2">
        <v>14164667278.9</v>
      </c>
      <c r="F73" s="2">
        <v>134.61000000000001</v>
      </c>
      <c r="G73" s="2">
        <v>4265162099</v>
      </c>
      <c r="H73" s="2">
        <v>13587.8125</v>
      </c>
      <c r="I73" s="2">
        <v>347.070014238</v>
      </c>
      <c r="J73" s="2" t="s">
        <v>2261</v>
      </c>
      <c r="K73" s="2">
        <v>0</v>
      </c>
      <c r="L73" s="2">
        <v>2.1000000000000001E-4</v>
      </c>
      <c r="M73" s="2">
        <v>1841284698120000</v>
      </c>
      <c r="N73" s="2">
        <v>221500</v>
      </c>
      <c r="O73" s="2">
        <v>122438294</v>
      </c>
      <c r="P73" s="2">
        <v>6399</v>
      </c>
    </row>
    <row r="74" spans="1:16" x14ac:dyDescent="0.25">
      <c r="A74" s="1">
        <v>43536</v>
      </c>
      <c r="B74" s="2">
        <v>350067003.65899998</v>
      </c>
      <c r="C74" s="2">
        <v>350067003.65899998</v>
      </c>
      <c r="D74" s="2">
        <v>564306</v>
      </c>
      <c r="E74" s="2">
        <v>14099687502.4</v>
      </c>
      <c r="F74" s="2">
        <v>134.01</v>
      </c>
      <c r="G74" s="2">
        <v>4709988000</v>
      </c>
      <c r="H74" s="2">
        <v>13659.25</v>
      </c>
      <c r="I74" s="2">
        <v>356.54429892799999</v>
      </c>
      <c r="J74" s="2" t="s">
        <v>2262</v>
      </c>
      <c r="K74" s="2">
        <v>0</v>
      </c>
      <c r="L74" s="2">
        <v>2.1050999999999999E-4</v>
      </c>
      <c r="M74" s="2">
        <v>1853560880680000</v>
      </c>
      <c r="N74" s="2">
        <v>230779</v>
      </c>
      <c r="O74" s="2">
        <v>114061894</v>
      </c>
      <c r="P74" s="2">
        <v>6453</v>
      </c>
    </row>
    <row r="75" spans="1:16" x14ac:dyDescent="0.25">
      <c r="A75" s="1">
        <v>43535</v>
      </c>
      <c r="B75" s="2">
        <v>376877586.23400003</v>
      </c>
      <c r="C75" s="2">
        <v>376877586.23400003</v>
      </c>
      <c r="D75" s="2">
        <v>536412</v>
      </c>
      <c r="E75" s="2">
        <v>14396751551.1</v>
      </c>
      <c r="F75" s="2">
        <v>136.85</v>
      </c>
      <c r="G75" s="2">
        <v>4689807419</v>
      </c>
      <c r="H75" s="2">
        <v>13514.3125</v>
      </c>
      <c r="I75" s="2">
        <v>349.93123123100003</v>
      </c>
      <c r="J75" s="2" t="s">
        <v>2263</v>
      </c>
      <c r="K75" s="2">
        <v>0</v>
      </c>
      <c r="L75" s="2">
        <v>2.2835999999999999E-4</v>
      </c>
      <c r="M75" s="2">
        <v>1883358396030000</v>
      </c>
      <c r="N75" s="2">
        <v>206341</v>
      </c>
      <c r="O75" s="2">
        <v>108989990</v>
      </c>
      <c r="P75" s="2">
        <v>6389</v>
      </c>
    </row>
    <row r="76" spans="1:16" x14ac:dyDescent="0.25">
      <c r="A76" s="1">
        <v>43534</v>
      </c>
      <c r="B76" s="2">
        <v>268610279.48699999</v>
      </c>
      <c r="C76" s="2">
        <v>268610279.48699999</v>
      </c>
      <c r="D76" s="2">
        <v>484038</v>
      </c>
      <c r="E76" s="2">
        <v>14534221086.9</v>
      </c>
      <c r="F76" s="2">
        <v>138.18</v>
      </c>
      <c r="G76" s="2">
        <v>4578438499</v>
      </c>
      <c r="H76" s="2">
        <v>13844.625</v>
      </c>
      <c r="I76" s="2">
        <v>314.31825201200002</v>
      </c>
      <c r="J76" s="2" t="s">
        <v>2264</v>
      </c>
      <c r="K76" s="2">
        <v>0</v>
      </c>
      <c r="L76" s="2">
        <v>2.2595199999999999E-4</v>
      </c>
      <c r="M76" s="2">
        <v>1884251749840000</v>
      </c>
      <c r="N76" s="2">
        <v>187434</v>
      </c>
      <c r="O76" s="2">
        <v>97988512</v>
      </c>
      <c r="P76" s="2">
        <v>6513</v>
      </c>
    </row>
    <row r="77" spans="1:16" x14ac:dyDescent="0.25">
      <c r="A77" s="1">
        <v>43533</v>
      </c>
      <c r="B77" s="2">
        <v>284215094.32300001</v>
      </c>
      <c r="C77" s="2">
        <v>284215094.32300001</v>
      </c>
      <c r="D77" s="2">
        <v>555854</v>
      </c>
      <c r="E77" s="2">
        <v>14185959059.200001</v>
      </c>
      <c r="F77" s="2">
        <v>134.88999999999999</v>
      </c>
      <c r="G77" s="2">
        <v>5011918715</v>
      </c>
      <c r="H77" s="2">
        <v>13530.5</v>
      </c>
      <c r="I77" s="2">
        <v>361.40211926000001</v>
      </c>
      <c r="J77" s="2" t="s">
        <v>2265</v>
      </c>
      <c r="K77" s="2">
        <v>0</v>
      </c>
      <c r="L77" s="2">
        <v>2.1851999999999999E-4</v>
      </c>
      <c r="M77" s="2">
        <v>1883192473690000</v>
      </c>
      <c r="N77" s="2">
        <v>216014</v>
      </c>
      <c r="O77" s="2">
        <v>111952353</v>
      </c>
      <c r="P77" s="2">
        <v>6380</v>
      </c>
    </row>
    <row r="78" spans="1:16" x14ac:dyDescent="0.25">
      <c r="A78" s="1">
        <v>43532</v>
      </c>
      <c r="B78" s="2">
        <v>375583865.50800002</v>
      </c>
      <c r="C78" s="2">
        <v>375583865.50800002</v>
      </c>
      <c r="D78" s="2">
        <v>562361</v>
      </c>
      <c r="E78" s="2">
        <v>14543933691.200001</v>
      </c>
      <c r="F78" s="2">
        <v>138.31</v>
      </c>
      <c r="G78" s="2">
        <v>4678816794</v>
      </c>
      <c r="H78" s="2">
        <v>13621</v>
      </c>
      <c r="I78" s="2">
        <v>406.06104772600003</v>
      </c>
      <c r="J78" s="2" t="s">
        <v>2266</v>
      </c>
      <c r="K78" s="2">
        <v>0</v>
      </c>
      <c r="L78" s="2">
        <v>2.6459999999999998E-4</v>
      </c>
      <c r="M78" s="2">
        <v>1929400117630000</v>
      </c>
      <c r="N78" s="2">
        <v>218161</v>
      </c>
      <c r="O78" s="2">
        <v>120092185</v>
      </c>
      <c r="P78" s="2">
        <v>6388</v>
      </c>
    </row>
    <row r="79" spans="1:16" x14ac:dyDescent="0.25">
      <c r="A79" s="1">
        <v>43531</v>
      </c>
      <c r="B79" s="2">
        <v>355511506.89899999</v>
      </c>
      <c r="C79" s="2">
        <v>355511506.89899999</v>
      </c>
      <c r="D79" s="2">
        <v>572685</v>
      </c>
      <c r="E79" s="2">
        <v>14609082450.700001</v>
      </c>
      <c r="F79" s="2">
        <v>138.94</v>
      </c>
      <c r="G79" s="2">
        <v>4339206292</v>
      </c>
      <c r="H79" s="2">
        <v>13672</v>
      </c>
      <c r="I79" s="2">
        <v>411.22376150999997</v>
      </c>
      <c r="J79" s="2" t="s">
        <v>2267</v>
      </c>
      <c r="K79" s="2">
        <v>0</v>
      </c>
      <c r="L79" s="2">
        <v>3.1137867021600001E-4</v>
      </c>
      <c r="M79" s="2">
        <v>1904525352300000</v>
      </c>
      <c r="N79" s="2">
        <v>222499</v>
      </c>
      <c r="O79" s="2">
        <v>110192135</v>
      </c>
      <c r="P79" s="2">
        <v>6438</v>
      </c>
    </row>
    <row r="80" spans="1:16" x14ac:dyDescent="0.25">
      <c r="A80" s="1">
        <v>43530</v>
      </c>
      <c r="B80" s="2">
        <v>357252355.81599998</v>
      </c>
      <c r="C80" s="2">
        <v>357252355.81599998</v>
      </c>
      <c r="D80" s="2">
        <v>578932</v>
      </c>
      <c r="E80" s="2">
        <v>14503610486.9</v>
      </c>
      <c r="F80" s="2">
        <v>137.96</v>
      </c>
      <c r="G80" s="2">
        <v>4589054219</v>
      </c>
      <c r="H80" s="2">
        <v>13565.8125</v>
      </c>
      <c r="I80" s="2">
        <v>414.37212215800002</v>
      </c>
      <c r="J80" s="2" t="s">
        <v>2268</v>
      </c>
      <c r="K80" s="2">
        <v>0</v>
      </c>
      <c r="L80" s="2">
        <v>2.9757999999999998E-4</v>
      </c>
      <c r="M80" s="2">
        <v>1911664514000000</v>
      </c>
      <c r="N80" s="2">
        <v>221727</v>
      </c>
      <c r="O80" s="2">
        <v>113426443</v>
      </c>
      <c r="P80" s="2">
        <v>6399</v>
      </c>
    </row>
    <row r="81" spans="1:16" x14ac:dyDescent="0.25">
      <c r="A81" s="1">
        <v>43529</v>
      </c>
      <c r="B81" s="2">
        <v>334210993.93300003</v>
      </c>
      <c r="C81" s="2">
        <v>334210993.93300003</v>
      </c>
      <c r="D81" s="2">
        <v>598085</v>
      </c>
      <c r="E81" s="2">
        <v>13437437791.4</v>
      </c>
      <c r="F81" s="2">
        <v>127.79</v>
      </c>
      <c r="G81" s="2">
        <v>4764849990</v>
      </c>
      <c r="H81" s="2">
        <v>13752.875</v>
      </c>
      <c r="I81" s="2">
        <v>429.96243266599998</v>
      </c>
      <c r="J81" s="2" t="s">
        <v>2269</v>
      </c>
      <c r="K81" s="2">
        <v>0</v>
      </c>
      <c r="L81" s="2">
        <v>3.1005799999999999E-4</v>
      </c>
      <c r="M81" s="2">
        <v>1902401443290000</v>
      </c>
      <c r="N81" s="2">
        <v>219995</v>
      </c>
      <c r="O81" s="2">
        <v>120476675</v>
      </c>
      <c r="P81" s="2">
        <v>6429</v>
      </c>
    </row>
    <row r="82" spans="1:16" x14ac:dyDescent="0.25">
      <c r="A82" s="1">
        <v>43528</v>
      </c>
      <c r="B82" s="2">
        <v>386154916.24900001</v>
      </c>
      <c r="C82" s="2">
        <v>386154916.24900001</v>
      </c>
      <c r="D82" s="2">
        <v>620211</v>
      </c>
      <c r="E82" s="2">
        <v>13894432358.6</v>
      </c>
      <c r="F82" s="2">
        <v>132.16</v>
      </c>
      <c r="G82" s="2">
        <v>4008171341</v>
      </c>
      <c r="H82" s="2">
        <v>13645.25</v>
      </c>
      <c r="I82" s="2">
        <v>428.58853929000003</v>
      </c>
      <c r="J82" s="2" t="s">
        <v>2270</v>
      </c>
      <c r="K82" s="2">
        <v>0</v>
      </c>
      <c r="L82" s="2">
        <v>2.6165999999999999E-4</v>
      </c>
      <c r="M82" s="2">
        <v>1887288061260000</v>
      </c>
      <c r="N82" s="2">
        <v>217717</v>
      </c>
      <c r="O82" s="2">
        <v>126423075</v>
      </c>
      <c r="P82" s="2">
        <v>6384</v>
      </c>
    </row>
    <row r="83" spans="1:16" x14ac:dyDescent="0.25">
      <c r="A83" s="1">
        <v>43527</v>
      </c>
      <c r="B83" s="2">
        <v>250252464.10299999</v>
      </c>
      <c r="C83" s="2">
        <v>250252464.10299999</v>
      </c>
      <c r="D83" s="2">
        <v>492382</v>
      </c>
      <c r="E83" s="2">
        <v>14167656151.6</v>
      </c>
      <c r="F83" s="2">
        <v>134.79</v>
      </c>
      <c r="G83" s="2">
        <v>3454374053</v>
      </c>
      <c r="H83" s="2">
        <v>13597.6875</v>
      </c>
      <c r="I83" s="2">
        <v>331.57327712300003</v>
      </c>
      <c r="J83" s="2" t="s">
        <v>2271</v>
      </c>
      <c r="K83" s="2">
        <v>0</v>
      </c>
      <c r="L83" s="2">
        <v>2.6625900000000003E-4</v>
      </c>
      <c r="M83" s="2">
        <v>1909053399670000</v>
      </c>
      <c r="N83" s="2">
        <v>183610</v>
      </c>
      <c r="O83" s="2">
        <v>97837163</v>
      </c>
      <c r="P83" s="2">
        <v>6379</v>
      </c>
    </row>
    <row r="84" spans="1:16" x14ac:dyDescent="0.25">
      <c r="A84" s="1">
        <v>43526</v>
      </c>
      <c r="B84" s="2">
        <v>225268474.51100001</v>
      </c>
      <c r="C84" s="2">
        <v>225268474.51100001</v>
      </c>
      <c r="D84" s="2">
        <v>526912</v>
      </c>
      <c r="E84" s="2">
        <v>14328584127.5</v>
      </c>
      <c r="F84" s="2">
        <v>136.35</v>
      </c>
      <c r="G84" s="2">
        <v>3747176425</v>
      </c>
      <c r="H84" s="2">
        <v>13634.875</v>
      </c>
      <c r="I84" s="2">
        <v>357.89907296600001</v>
      </c>
      <c r="J84" s="2" t="s">
        <v>2272</v>
      </c>
      <c r="K84" s="2">
        <v>0</v>
      </c>
      <c r="L84" s="2">
        <v>2.6670699999999998E-4</v>
      </c>
      <c r="M84" s="2">
        <v>1923253032280000</v>
      </c>
      <c r="N84" s="2">
        <v>197712</v>
      </c>
      <c r="O84" s="2">
        <v>105368586</v>
      </c>
      <c r="P84" s="2">
        <v>6402</v>
      </c>
    </row>
    <row r="85" spans="1:16" x14ac:dyDescent="0.25">
      <c r="A85" s="1">
        <v>43525</v>
      </c>
      <c r="B85" s="2">
        <v>287761923.32300001</v>
      </c>
      <c r="C85" s="2">
        <v>287761923.32300001</v>
      </c>
      <c r="D85" s="2">
        <v>547622</v>
      </c>
      <c r="E85" s="2">
        <v>14377986030.799999</v>
      </c>
      <c r="F85" s="2">
        <v>136.84</v>
      </c>
      <c r="G85" s="2">
        <v>3756124824</v>
      </c>
      <c r="H85" s="2">
        <v>12869.625</v>
      </c>
      <c r="I85" s="2">
        <v>392.65401345599997</v>
      </c>
      <c r="J85" s="2" t="s">
        <v>2273</v>
      </c>
      <c r="K85" s="2">
        <v>0</v>
      </c>
      <c r="L85" s="2">
        <v>3.0705400000000002E-4</v>
      </c>
      <c r="M85" s="2">
        <v>2036274545350000</v>
      </c>
      <c r="N85" s="2">
        <v>209509</v>
      </c>
      <c r="O85" s="2">
        <v>113546948</v>
      </c>
      <c r="P85" s="2">
        <v>5994</v>
      </c>
    </row>
    <row r="86" spans="1:16" x14ac:dyDescent="0.25">
      <c r="A86" s="1">
        <v>43524</v>
      </c>
      <c r="B86" s="2">
        <v>361817389.99400002</v>
      </c>
      <c r="C86" s="2">
        <v>361817389.99400002</v>
      </c>
      <c r="D86" s="2">
        <v>541458</v>
      </c>
      <c r="E86" s="2">
        <v>14315746325.9</v>
      </c>
      <c r="F86" s="2">
        <v>136.28</v>
      </c>
      <c r="G86" s="2">
        <v>4535438953</v>
      </c>
      <c r="H86" s="2">
        <v>12954.84375</v>
      </c>
      <c r="I86" s="2">
        <v>545.14176216199996</v>
      </c>
      <c r="J86" s="2" t="s">
        <v>2274</v>
      </c>
      <c r="K86" s="2">
        <v>0</v>
      </c>
      <c r="L86" s="2">
        <v>4.6921000000000002E-4</v>
      </c>
      <c r="M86" s="2">
        <v>2927452516450000</v>
      </c>
      <c r="N86" s="2">
        <v>223075</v>
      </c>
      <c r="O86" s="2">
        <v>109661823</v>
      </c>
      <c r="P86" s="2">
        <v>4366</v>
      </c>
    </row>
    <row r="87" spans="1:16" x14ac:dyDescent="0.25">
      <c r="A87" s="1">
        <v>43523</v>
      </c>
      <c r="B87" s="2">
        <v>446847608.33700001</v>
      </c>
      <c r="C87" s="2">
        <v>446847608.33700001</v>
      </c>
      <c r="D87" s="2">
        <v>539516</v>
      </c>
      <c r="E87" s="2">
        <v>14497632344</v>
      </c>
      <c r="F87" s="2">
        <v>138.03</v>
      </c>
      <c r="G87" s="2">
        <v>4469776860</v>
      </c>
      <c r="H87" s="2">
        <v>13513.6875</v>
      </c>
      <c r="I87" s="2">
        <v>477.56214415900001</v>
      </c>
      <c r="J87" s="2" t="s">
        <v>2275</v>
      </c>
      <c r="K87" s="2">
        <v>0</v>
      </c>
      <c r="L87" s="2">
        <v>4.2000000000000002E-4</v>
      </c>
      <c r="M87" s="2">
        <v>2974809174830000</v>
      </c>
      <c r="N87" s="2">
        <v>213682</v>
      </c>
      <c r="O87" s="2">
        <v>108480550</v>
      </c>
      <c r="P87" s="2">
        <v>4281</v>
      </c>
    </row>
    <row r="88" spans="1:16" x14ac:dyDescent="0.25">
      <c r="A88" s="1">
        <v>43522</v>
      </c>
      <c r="B88" s="2">
        <v>297325939.59899998</v>
      </c>
      <c r="C88" s="2">
        <v>297325939.59899998</v>
      </c>
      <c r="D88" s="2">
        <v>553925</v>
      </c>
      <c r="E88" s="2">
        <v>14666298218</v>
      </c>
      <c r="F88" s="2">
        <v>139.65</v>
      </c>
      <c r="G88" s="2">
        <v>3791292839</v>
      </c>
      <c r="H88" s="2">
        <v>13518.46875</v>
      </c>
      <c r="I88" s="2">
        <v>525.22159827300004</v>
      </c>
      <c r="J88" s="2" t="s">
        <v>2276</v>
      </c>
      <c r="K88" s="2">
        <v>0</v>
      </c>
      <c r="L88" s="2">
        <v>4.5604125E-4</v>
      </c>
      <c r="M88" s="2">
        <v>2978233508540000</v>
      </c>
      <c r="N88" s="2">
        <v>208300</v>
      </c>
      <c r="O88" s="2">
        <v>112455743</v>
      </c>
      <c r="P88" s="2">
        <v>4281</v>
      </c>
    </row>
    <row r="89" spans="1:16" x14ac:dyDescent="0.25">
      <c r="A89" s="1">
        <v>43521</v>
      </c>
      <c r="B89" s="2">
        <v>562885418.48699999</v>
      </c>
      <c r="C89" s="2">
        <v>562885418.48699999</v>
      </c>
      <c r="D89" s="2">
        <v>573756</v>
      </c>
      <c r="E89" s="2">
        <v>14228951644.799999</v>
      </c>
      <c r="F89" s="2">
        <v>135.5</v>
      </c>
      <c r="G89" s="2">
        <v>4914392068</v>
      </c>
      <c r="H89" s="2">
        <v>13371.65625</v>
      </c>
      <c r="I89" s="2">
        <v>523.62938829300003</v>
      </c>
      <c r="J89" s="2" t="s">
        <v>2277</v>
      </c>
      <c r="K89" s="2">
        <v>0</v>
      </c>
      <c r="L89" s="2">
        <v>4.2000000000000002E-4</v>
      </c>
      <c r="M89" s="2">
        <v>2966100005080000</v>
      </c>
      <c r="N89" s="2">
        <v>217686</v>
      </c>
      <c r="O89" s="2">
        <v>113113421</v>
      </c>
      <c r="P89" s="2">
        <v>4238</v>
      </c>
    </row>
    <row r="90" spans="1:16" x14ac:dyDescent="0.25">
      <c r="A90" s="1">
        <v>43520</v>
      </c>
      <c r="B90" s="2">
        <v>512317646.67299998</v>
      </c>
      <c r="C90" s="2">
        <v>512317646.67299998</v>
      </c>
      <c r="D90" s="2">
        <v>540201</v>
      </c>
      <c r="E90" s="2">
        <v>16684059876.799999</v>
      </c>
      <c r="F90" s="2">
        <v>158.9</v>
      </c>
      <c r="G90" s="2">
        <v>5957715043</v>
      </c>
      <c r="H90" s="2">
        <v>13358.15625</v>
      </c>
      <c r="I90" s="2">
        <v>465.38318817999999</v>
      </c>
      <c r="J90" s="2" t="s">
        <v>2278</v>
      </c>
      <c r="K90" s="2">
        <v>0</v>
      </c>
      <c r="L90" s="2">
        <v>4.16666666661E-4</v>
      </c>
      <c r="M90" s="2">
        <v>3010990374030000</v>
      </c>
      <c r="N90" s="2">
        <v>208956</v>
      </c>
      <c r="O90" s="2">
        <v>103792088</v>
      </c>
      <c r="P90" s="2">
        <v>4254</v>
      </c>
    </row>
    <row r="91" spans="1:16" x14ac:dyDescent="0.25">
      <c r="A91" s="1">
        <v>43519</v>
      </c>
      <c r="B91" s="2">
        <v>258436155.53600001</v>
      </c>
      <c r="C91" s="2">
        <v>258436155.53600001</v>
      </c>
      <c r="D91" s="2">
        <v>476225</v>
      </c>
      <c r="E91" s="2">
        <v>15608247021.5</v>
      </c>
      <c r="F91" s="2">
        <v>148.68</v>
      </c>
      <c r="G91" s="2">
        <v>4519468458</v>
      </c>
      <c r="H91" s="2">
        <v>13651.96875</v>
      </c>
      <c r="I91" s="2">
        <v>385.480492212</v>
      </c>
      <c r="J91" s="2" t="s">
        <v>2279</v>
      </c>
      <c r="K91" s="2">
        <v>0</v>
      </c>
      <c r="L91" s="2">
        <v>3.7362000000000002E-4</v>
      </c>
      <c r="M91" s="2">
        <v>3019639018880000</v>
      </c>
      <c r="N91" s="2">
        <v>193342</v>
      </c>
      <c r="O91" s="2">
        <v>95082264</v>
      </c>
      <c r="P91" s="2">
        <v>4353</v>
      </c>
    </row>
    <row r="92" spans="1:16" x14ac:dyDescent="0.25">
      <c r="A92" s="1">
        <v>43518</v>
      </c>
      <c r="B92" s="2">
        <v>355420084.57599998</v>
      </c>
      <c r="C92" s="2">
        <v>355420084.57599998</v>
      </c>
      <c r="D92" s="2">
        <v>530839</v>
      </c>
      <c r="E92" s="2">
        <v>15332952093.799999</v>
      </c>
      <c r="F92" s="2">
        <v>146.07</v>
      </c>
      <c r="G92" s="2">
        <v>3731099284</v>
      </c>
      <c r="H92" s="2">
        <v>13292.0625</v>
      </c>
      <c r="I92" s="2">
        <v>426.47223517700002</v>
      </c>
      <c r="J92" s="2" t="s">
        <v>2280</v>
      </c>
      <c r="K92" s="2">
        <v>0</v>
      </c>
      <c r="L92" s="2">
        <v>4.0376700000000003E-4</v>
      </c>
      <c r="M92" s="2">
        <v>2909984614420000</v>
      </c>
      <c r="N92" s="2">
        <v>197230</v>
      </c>
      <c r="O92" s="2">
        <v>105817789</v>
      </c>
      <c r="P92" s="2">
        <v>4238</v>
      </c>
    </row>
    <row r="93" spans="1:16" x14ac:dyDescent="0.25">
      <c r="A93" s="1">
        <v>43517</v>
      </c>
      <c r="B93" s="2">
        <v>521781755.55199999</v>
      </c>
      <c r="C93" s="2">
        <v>521781755.55199999</v>
      </c>
      <c r="D93" s="2">
        <v>544817</v>
      </c>
      <c r="E93" s="2">
        <v>15675102415.5</v>
      </c>
      <c r="F93" s="2">
        <v>149.35</v>
      </c>
      <c r="G93" s="2">
        <v>3995766856</v>
      </c>
      <c r="H93" s="2">
        <v>13339.6875</v>
      </c>
      <c r="I93" s="2">
        <v>449.92509790999998</v>
      </c>
      <c r="J93" s="2" t="s">
        <v>2281</v>
      </c>
      <c r="K93" s="2">
        <v>0</v>
      </c>
      <c r="L93" s="2">
        <v>3.8696999999999999E-4</v>
      </c>
      <c r="M93" s="2">
        <v>2935972745890000</v>
      </c>
      <c r="N93" s="2">
        <v>198392</v>
      </c>
      <c r="O93" s="2">
        <v>107224348</v>
      </c>
      <c r="P93" s="2">
        <v>4252</v>
      </c>
    </row>
    <row r="94" spans="1:16" x14ac:dyDescent="0.25">
      <c r="A94" s="1">
        <v>43516</v>
      </c>
      <c r="B94" s="2">
        <v>370540307.04799998</v>
      </c>
      <c r="C94" s="2">
        <v>370540307.04799998</v>
      </c>
      <c r="D94" s="2">
        <v>530268</v>
      </c>
      <c r="E94" s="2">
        <v>15234805119.299999</v>
      </c>
      <c r="F94" s="2">
        <v>145.16999999999999</v>
      </c>
      <c r="G94" s="2">
        <v>4500094965</v>
      </c>
      <c r="H94" s="2">
        <v>13419.46875</v>
      </c>
      <c r="I94" s="2">
        <v>465.03430062299998</v>
      </c>
      <c r="J94" s="2" t="s">
        <v>2282</v>
      </c>
      <c r="K94" s="2">
        <v>0</v>
      </c>
      <c r="L94" s="2">
        <v>4.2000000000000002E-4</v>
      </c>
      <c r="M94" s="2">
        <v>2934330432680000</v>
      </c>
      <c r="N94" s="2">
        <v>217533</v>
      </c>
      <c r="O94" s="2">
        <v>105027617</v>
      </c>
      <c r="P94" s="2">
        <v>4242</v>
      </c>
    </row>
    <row r="95" spans="1:16" x14ac:dyDescent="0.25">
      <c r="A95" s="1">
        <v>43515</v>
      </c>
      <c r="B95" s="2">
        <v>445195310.366</v>
      </c>
      <c r="C95" s="2">
        <v>445195310.366</v>
      </c>
      <c r="D95" s="2">
        <v>533602</v>
      </c>
      <c r="E95" s="2">
        <v>15361072646.6</v>
      </c>
      <c r="F95" s="2">
        <v>146.4</v>
      </c>
      <c r="G95" s="2">
        <v>5310842625</v>
      </c>
      <c r="H95" s="2">
        <v>13530.46875</v>
      </c>
      <c r="I95" s="2">
        <v>4475.3190970899996</v>
      </c>
      <c r="J95" s="2" t="s">
        <v>2283</v>
      </c>
      <c r="K95" s="2">
        <v>0</v>
      </c>
      <c r="L95" s="2">
        <v>4.2000000000000002E-4</v>
      </c>
      <c r="M95" s="2">
        <v>2931316443910000</v>
      </c>
      <c r="N95" s="2">
        <v>222729</v>
      </c>
      <c r="O95" s="2">
        <v>105402006</v>
      </c>
      <c r="P95" s="2">
        <v>4288</v>
      </c>
    </row>
    <row r="96" spans="1:16" x14ac:dyDescent="0.25">
      <c r="A96" s="1">
        <v>43514</v>
      </c>
      <c r="B96" s="2">
        <v>457608973.03799999</v>
      </c>
      <c r="C96" s="2">
        <v>457608973.03799999</v>
      </c>
      <c r="D96" s="2">
        <v>512455</v>
      </c>
      <c r="E96" s="2">
        <v>13956633917.1</v>
      </c>
      <c r="F96" s="2">
        <v>133.03</v>
      </c>
      <c r="G96" s="2">
        <v>5387525773</v>
      </c>
      <c r="H96" s="2">
        <v>13297.78125</v>
      </c>
      <c r="I96" s="2">
        <v>491.58184480400001</v>
      </c>
      <c r="J96" s="2" t="s">
        <v>2284</v>
      </c>
      <c r="K96" s="2">
        <v>8.9968189E-3</v>
      </c>
      <c r="L96" s="2">
        <v>4.2000000000000002E-4</v>
      </c>
      <c r="M96" s="2">
        <v>2800543669060000</v>
      </c>
      <c r="N96" s="2">
        <v>228165</v>
      </c>
      <c r="O96" s="2">
        <v>101148719</v>
      </c>
      <c r="P96" s="2">
        <v>4196</v>
      </c>
    </row>
    <row r="97" spans="1:16" x14ac:dyDescent="0.25">
      <c r="A97" s="1">
        <v>43513</v>
      </c>
      <c r="B97" s="2">
        <v>243465043.63800001</v>
      </c>
      <c r="C97" s="2">
        <v>243465043.63800001</v>
      </c>
      <c r="D97" s="2">
        <v>447945</v>
      </c>
      <c r="E97" s="2">
        <v>12921633162.1</v>
      </c>
      <c r="F97" s="2">
        <v>123.18</v>
      </c>
      <c r="G97" s="2">
        <v>4236081130</v>
      </c>
      <c r="H97" s="2">
        <v>12989.34375</v>
      </c>
      <c r="I97" s="2">
        <v>358.455770384</v>
      </c>
      <c r="J97" s="2" t="s">
        <v>2285</v>
      </c>
      <c r="K97" s="2">
        <v>0</v>
      </c>
      <c r="L97" s="2">
        <v>3.56607E-4</v>
      </c>
      <c r="M97" s="2">
        <v>2787183992530000</v>
      </c>
      <c r="N97" s="2">
        <v>172649</v>
      </c>
      <c r="O97" s="2">
        <v>91883619</v>
      </c>
      <c r="P97" s="2">
        <v>4139</v>
      </c>
    </row>
    <row r="98" spans="1:16" x14ac:dyDescent="0.25">
      <c r="A98" s="1">
        <v>43512</v>
      </c>
      <c r="B98" s="2">
        <v>148329895.787</v>
      </c>
      <c r="C98" s="2">
        <v>148329895.787</v>
      </c>
      <c r="D98" s="2">
        <v>454309</v>
      </c>
      <c r="E98" s="2">
        <v>12838346118.1</v>
      </c>
      <c r="F98" s="2">
        <v>122.4</v>
      </c>
      <c r="G98" s="2">
        <v>2905833287</v>
      </c>
      <c r="H98" s="2">
        <v>13281.46875</v>
      </c>
      <c r="I98" s="2">
        <v>360.42854815200002</v>
      </c>
      <c r="J98" s="2" t="s">
        <v>2286</v>
      </c>
      <c r="K98" s="2">
        <v>0</v>
      </c>
      <c r="L98" s="2">
        <v>3.1801763730199999E-4</v>
      </c>
      <c r="M98" s="2">
        <v>2791492738500000</v>
      </c>
      <c r="N98" s="2">
        <v>173315</v>
      </c>
      <c r="O98" s="2">
        <v>90871933</v>
      </c>
      <c r="P98" s="2">
        <v>4224</v>
      </c>
    </row>
    <row r="99" spans="1:16" x14ac:dyDescent="0.25">
      <c r="A99" s="1">
        <v>43511</v>
      </c>
      <c r="B99" s="2">
        <v>222204504.986</v>
      </c>
      <c r="C99" s="2">
        <v>222204504.986</v>
      </c>
      <c r="D99" s="2">
        <v>468599</v>
      </c>
      <c r="E99" s="2">
        <v>12737111785.700001</v>
      </c>
      <c r="F99" s="2">
        <v>121.45</v>
      </c>
      <c r="G99" s="2">
        <v>3021741615</v>
      </c>
      <c r="H99" s="2">
        <v>13063.96875</v>
      </c>
      <c r="I99" s="2">
        <v>408.34242940399997</v>
      </c>
      <c r="J99" s="2" t="s">
        <v>2287</v>
      </c>
      <c r="K99" s="2">
        <v>0</v>
      </c>
      <c r="L99" s="2">
        <v>3.6710999999999997E-4</v>
      </c>
      <c r="M99" s="2">
        <v>2758556101640000</v>
      </c>
      <c r="N99" s="2">
        <v>184345</v>
      </c>
      <c r="O99" s="2">
        <v>94600173</v>
      </c>
      <c r="P99" s="2">
        <v>4158</v>
      </c>
    </row>
    <row r="100" spans="1:16" x14ac:dyDescent="0.25">
      <c r="A100" s="1">
        <v>43510</v>
      </c>
      <c r="B100" s="2">
        <v>230894440.905</v>
      </c>
      <c r="C100" s="2">
        <v>230894440.905</v>
      </c>
      <c r="D100" s="2">
        <v>474782</v>
      </c>
      <c r="E100" s="2">
        <v>12837221666.5</v>
      </c>
      <c r="F100" s="2">
        <v>122.42</v>
      </c>
      <c r="G100" s="2">
        <v>3331701628</v>
      </c>
      <c r="H100" s="2">
        <v>13083.46875</v>
      </c>
      <c r="I100" s="2">
        <v>395.49334556999997</v>
      </c>
      <c r="J100" s="2" t="s">
        <v>2288</v>
      </c>
      <c r="K100" s="2">
        <v>0</v>
      </c>
      <c r="L100" s="2">
        <v>2.8159879999999998E-4</v>
      </c>
      <c r="M100" s="2">
        <v>2763885682500000</v>
      </c>
      <c r="N100" s="2">
        <v>181780</v>
      </c>
      <c r="O100" s="2">
        <v>97090098</v>
      </c>
      <c r="P100" s="2">
        <v>4166</v>
      </c>
    </row>
    <row r="101" spans="1:16" x14ac:dyDescent="0.25">
      <c r="A101" s="1">
        <v>43509</v>
      </c>
      <c r="B101" s="2">
        <v>255239990.89300001</v>
      </c>
      <c r="C101" s="2">
        <v>255239990.89300001</v>
      </c>
      <c r="D101" s="2">
        <v>491354</v>
      </c>
      <c r="E101" s="2">
        <v>12848557299.6</v>
      </c>
      <c r="F101" s="2">
        <v>122.54</v>
      </c>
      <c r="G101" s="2">
        <v>3386585799</v>
      </c>
      <c r="H101" s="2">
        <v>13054.875</v>
      </c>
      <c r="I101" s="2">
        <v>356.530882013</v>
      </c>
      <c r="J101" s="2" t="s">
        <v>2289</v>
      </c>
      <c r="K101" s="2">
        <v>0</v>
      </c>
      <c r="L101" s="2">
        <v>3.2559E-4</v>
      </c>
      <c r="M101" s="2">
        <v>2813683136250000</v>
      </c>
      <c r="N101" s="2">
        <v>183103</v>
      </c>
      <c r="O101" s="2">
        <v>97421552</v>
      </c>
      <c r="P101" s="2">
        <v>4169</v>
      </c>
    </row>
    <row r="102" spans="1:16" x14ac:dyDescent="0.25">
      <c r="A102" s="1">
        <v>43508</v>
      </c>
      <c r="B102" s="2">
        <v>213772175.699</v>
      </c>
      <c r="C102" s="2">
        <v>213772175.699</v>
      </c>
      <c r="D102" s="2">
        <v>438111</v>
      </c>
      <c r="E102" s="2">
        <v>12704240624.6</v>
      </c>
      <c r="F102" s="2">
        <v>121.18</v>
      </c>
      <c r="G102" s="2">
        <v>3149576429</v>
      </c>
      <c r="H102" s="2">
        <v>13363.78125</v>
      </c>
      <c r="I102" s="2">
        <v>316.69045631799997</v>
      </c>
      <c r="J102" s="2" t="s">
        <v>2290</v>
      </c>
      <c r="K102" s="2">
        <v>0</v>
      </c>
      <c r="L102" s="2">
        <v>2.9399999999999999E-4</v>
      </c>
      <c r="M102" s="2">
        <v>2845496665500000</v>
      </c>
      <c r="N102" s="2">
        <v>180174</v>
      </c>
      <c r="O102" s="2">
        <v>88980387</v>
      </c>
      <c r="P102" s="2">
        <v>4273</v>
      </c>
    </row>
    <row r="103" spans="1:16" x14ac:dyDescent="0.25">
      <c r="A103" s="1">
        <v>43507</v>
      </c>
      <c r="B103" s="2">
        <v>287942212.83999997</v>
      </c>
      <c r="C103" s="2">
        <v>287942212.83999997</v>
      </c>
      <c r="D103" s="2">
        <v>429007</v>
      </c>
      <c r="E103" s="2">
        <v>13089006223.4</v>
      </c>
      <c r="F103" s="2">
        <v>124.87</v>
      </c>
      <c r="G103" s="2">
        <v>3222473887</v>
      </c>
      <c r="H103" s="2">
        <v>13131.09375</v>
      </c>
      <c r="I103" s="2">
        <v>321.22021117200001</v>
      </c>
      <c r="J103" s="2" t="s">
        <v>2291</v>
      </c>
      <c r="K103" s="2">
        <v>0</v>
      </c>
      <c r="L103" s="2">
        <v>3.4637440000000002E-4</v>
      </c>
      <c r="M103" s="2">
        <v>2790453971460000</v>
      </c>
      <c r="N103" s="2">
        <v>173877</v>
      </c>
      <c r="O103" s="2">
        <v>86834952</v>
      </c>
      <c r="P103" s="2">
        <v>4195</v>
      </c>
    </row>
    <row r="104" spans="1:16" x14ac:dyDescent="0.25">
      <c r="A104" s="1">
        <v>43506</v>
      </c>
      <c r="B104" s="2">
        <v>196999421.97099999</v>
      </c>
      <c r="C104" s="2">
        <v>196999421.97099999</v>
      </c>
      <c r="D104" s="2">
        <v>381151</v>
      </c>
      <c r="E104" s="2">
        <v>12514927560.9</v>
      </c>
      <c r="F104" s="2">
        <v>119.41</v>
      </c>
      <c r="G104" s="2">
        <v>3148766590</v>
      </c>
      <c r="H104" s="2">
        <v>13370.34375</v>
      </c>
      <c r="I104" s="2">
        <v>274.09390161699997</v>
      </c>
      <c r="J104" s="2" t="s">
        <v>2292</v>
      </c>
      <c r="K104" s="2">
        <v>0</v>
      </c>
      <c r="L104" s="2">
        <v>2.9999999999999997E-4</v>
      </c>
      <c r="M104" s="2">
        <v>2799616234000000</v>
      </c>
      <c r="N104" s="2">
        <v>154770</v>
      </c>
      <c r="O104" s="2">
        <v>79933591</v>
      </c>
      <c r="P104" s="2">
        <v>4298</v>
      </c>
    </row>
    <row r="105" spans="1:16" x14ac:dyDescent="0.25">
      <c r="A105" s="1">
        <v>43505</v>
      </c>
      <c r="B105" s="2">
        <v>168220046.67399999</v>
      </c>
      <c r="C105" s="2">
        <v>168220046.67399999</v>
      </c>
      <c r="D105" s="2">
        <v>417129</v>
      </c>
      <c r="E105" s="2">
        <v>12492814898.5</v>
      </c>
      <c r="F105" s="2">
        <v>119.21</v>
      </c>
      <c r="G105" s="2">
        <v>2884650400</v>
      </c>
      <c r="H105" s="2">
        <v>15347.0625</v>
      </c>
      <c r="I105" s="2">
        <v>292.29337976900001</v>
      </c>
      <c r="J105" s="2" t="s">
        <v>2293</v>
      </c>
      <c r="K105" s="2">
        <v>0</v>
      </c>
      <c r="L105" s="2">
        <v>2.8000799999999999E-4</v>
      </c>
      <c r="M105" s="2">
        <v>2370089679940000</v>
      </c>
      <c r="N105" s="2">
        <v>165821</v>
      </c>
      <c r="O105" s="2">
        <v>83977631</v>
      </c>
      <c r="P105" s="2">
        <v>4900</v>
      </c>
    </row>
    <row r="106" spans="1:16" x14ac:dyDescent="0.25">
      <c r="A106" s="1">
        <v>43504</v>
      </c>
      <c r="B106" s="2">
        <v>261182268.572</v>
      </c>
      <c r="C106" s="2">
        <v>261182268.572</v>
      </c>
      <c r="D106" s="2">
        <v>471952</v>
      </c>
      <c r="E106" s="2">
        <v>10965081993.9</v>
      </c>
      <c r="F106" s="2">
        <v>104.65</v>
      </c>
      <c r="G106" s="2">
        <v>3656841347</v>
      </c>
      <c r="H106" s="2">
        <v>15471.28125</v>
      </c>
      <c r="I106" s="2">
        <v>327.47708404299999</v>
      </c>
      <c r="J106" s="2" t="s">
        <v>2294</v>
      </c>
      <c r="K106" s="2">
        <v>0</v>
      </c>
      <c r="L106" s="2">
        <v>3.0168000000000003E-4</v>
      </c>
      <c r="M106" s="2">
        <v>2371717026560000</v>
      </c>
      <c r="N106" s="2">
        <v>190455</v>
      </c>
      <c r="O106" s="2">
        <v>93448993</v>
      </c>
      <c r="P106" s="2">
        <v>4923</v>
      </c>
    </row>
    <row r="107" spans="1:16" x14ac:dyDescent="0.25">
      <c r="A107" s="1">
        <v>43503</v>
      </c>
      <c r="B107" s="2">
        <v>174245122.34200001</v>
      </c>
      <c r="C107" s="2">
        <v>174245122.34200001</v>
      </c>
      <c r="D107" s="2">
        <v>428676</v>
      </c>
      <c r="E107" s="2">
        <v>10983080769.200001</v>
      </c>
      <c r="F107" s="2">
        <v>104.84</v>
      </c>
      <c r="G107" s="2">
        <v>2326764622</v>
      </c>
      <c r="H107" s="2">
        <v>15398.625</v>
      </c>
      <c r="I107" s="2">
        <v>302.806479809</v>
      </c>
      <c r="J107" s="2" t="s">
        <v>2295</v>
      </c>
      <c r="K107" s="2">
        <v>0</v>
      </c>
      <c r="L107" s="2">
        <v>2.915247E-4</v>
      </c>
      <c r="M107" s="2">
        <v>2334070742650000</v>
      </c>
      <c r="N107" s="2">
        <v>167720</v>
      </c>
      <c r="O107" s="2">
        <v>85729376</v>
      </c>
      <c r="P107" s="2">
        <v>4918</v>
      </c>
    </row>
    <row r="108" spans="1:16" x14ac:dyDescent="0.25">
      <c r="A108" s="1">
        <v>43502</v>
      </c>
      <c r="B108" s="2">
        <v>219817011.72799999</v>
      </c>
      <c r="C108" s="2">
        <v>219817011.72799999</v>
      </c>
      <c r="D108" s="2">
        <v>429065</v>
      </c>
      <c r="E108" s="2">
        <v>11267851727.299999</v>
      </c>
      <c r="F108" s="2">
        <v>107.57</v>
      </c>
      <c r="G108" s="2">
        <v>2593048199</v>
      </c>
      <c r="H108" s="2">
        <v>15302.34375</v>
      </c>
      <c r="I108" s="2">
        <v>283.65821110000002</v>
      </c>
      <c r="J108" s="2" t="s">
        <v>2296</v>
      </c>
      <c r="K108" s="2">
        <v>0</v>
      </c>
      <c r="L108" s="2">
        <v>2.7300000000000002E-4</v>
      </c>
      <c r="M108" s="2">
        <v>2348839743430000</v>
      </c>
      <c r="N108" s="2">
        <v>168223</v>
      </c>
      <c r="O108" s="2">
        <v>83277359</v>
      </c>
      <c r="P108" s="2">
        <v>4892</v>
      </c>
    </row>
    <row r="109" spans="1:16" x14ac:dyDescent="0.25">
      <c r="A109" s="1">
        <v>43501</v>
      </c>
      <c r="B109" s="2">
        <v>124733424.47400001</v>
      </c>
      <c r="C109" s="2">
        <v>124733424.47400001</v>
      </c>
      <c r="D109" s="2">
        <v>414815</v>
      </c>
      <c r="E109" s="2">
        <v>11272935580.9</v>
      </c>
      <c r="F109" s="2">
        <v>107.63</v>
      </c>
      <c r="G109" s="2">
        <v>2515863999</v>
      </c>
      <c r="H109" s="2">
        <v>15418.78125</v>
      </c>
      <c r="I109" s="2">
        <v>269.82252056200002</v>
      </c>
      <c r="J109" s="2" t="s">
        <v>2297</v>
      </c>
      <c r="K109" s="2">
        <v>0</v>
      </c>
      <c r="L109" s="2">
        <v>2.52E-4</v>
      </c>
      <c r="M109" s="2">
        <v>2363998855760000</v>
      </c>
      <c r="N109" s="2">
        <v>158379</v>
      </c>
      <c r="O109" s="2">
        <v>81344349</v>
      </c>
      <c r="P109" s="2">
        <v>4900</v>
      </c>
    </row>
    <row r="110" spans="1:16" x14ac:dyDescent="0.25">
      <c r="A110" s="1">
        <v>43500</v>
      </c>
      <c r="B110" s="2">
        <v>132569024.868</v>
      </c>
      <c r="C110" s="2">
        <v>132569024.868</v>
      </c>
      <c r="D110" s="2">
        <v>416394</v>
      </c>
      <c r="E110" s="2">
        <v>11271072460.1</v>
      </c>
      <c r="F110" s="2">
        <v>107.63</v>
      </c>
      <c r="G110" s="2">
        <v>2491888675</v>
      </c>
      <c r="H110" s="2">
        <v>15394.6875</v>
      </c>
      <c r="I110" s="2">
        <v>266.90241569699998</v>
      </c>
      <c r="J110" s="2" t="s">
        <v>2298</v>
      </c>
      <c r="K110" s="2">
        <v>0</v>
      </c>
      <c r="L110" s="2">
        <v>2.6581100000000002E-4</v>
      </c>
      <c r="M110" s="2">
        <v>2361902705250000</v>
      </c>
      <c r="N110" s="2">
        <v>156406</v>
      </c>
      <c r="O110" s="2">
        <v>80617335</v>
      </c>
      <c r="P110" s="2">
        <v>4938</v>
      </c>
    </row>
    <row r="111" spans="1:16" x14ac:dyDescent="0.25">
      <c r="A111" s="1">
        <v>43499</v>
      </c>
      <c r="B111" s="2">
        <v>160404762.868</v>
      </c>
      <c r="C111" s="2">
        <v>160404762.868</v>
      </c>
      <c r="D111" s="2">
        <v>424378</v>
      </c>
      <c r="E111" s="2">
        <v>11568989341.4</v>
      </c>
      <c r="F111" s="2">
        <v>110.49</v>
      </c>
      <c r="G111" s="2">
        <v>2519334757</v>
      </c>
      <c r="H111" s="2">
        <v>15226.125</v>
      </c>
      <c r="I111" s="2">
        <v>253.71646300800001</v>
      </c>
      <c r="J111" s="2" t="s">
        <v>2299</v>
      </c>
      <c r="K111" s="2">
        <v>0</v>
      </c>
      <c r="L111" s="2">
        <v>2.6581100000000002E-4</v>
      </c>
      <c r="M111" s="2">
        <v>2354610028800000</v>
      </c>
      <c r="N111" s="2">
        <v>162101</v>
      </c>
      <c r="O111" s="2">
        <v>80629959</v>
      </c>
      <c r="P111" s="2">
        <v>4858</v>
      </c>
    </row>
    <row r="112" spans="1:16" x14ac:dyDescent="0.25">
      <c r="A112" s="1">
        <v>43498</v>
      </c>
      <c r="B112" s="2">
        <v>145767787.17699999</v>
      </c>
      <c r="C112" s="2">
        <v>145767787.17699999</v>
      </c>
      <c r="D112" s="2">
        <v>450314</v>
      </c>
      <c r="E112" s="2">
        <v>11250887223.9</v>
      </c>
      <c r="F112" s="2">
        <v>107.47</v>
      </c>
      <c r="G112" s="2">
        <v>2385157838</v>
      </c>
      <c r="H112" s="2">
        <v>15611.625</v>
      </c>
      <c r="I112" s="2">
        <v>286.886084686</v>
      </c>
      <c r="J112" s="2" t="s">
        <v>2300</v>
      </c>
      <c r="K112" s="2">
        <v>0</v>
      </c>
      <c r="L112" s="2">
        <v>2.52E-4</v>
      </c>
      <c r="M112" s="2">
        <v>2358910170610000</v>
      </c>
      <c r="N112" s="2">
        <v>182525</v>
      </c>
      <c r="O112" s="2">
        <v>86358050</v>
      </c>
      <c r="P112" s="2">
        <v>4935</v>
      </c>
    </row>
    <row r="113" spans="1:16" x14ac:dyDescent="0.25">
      <c r="A113" s="1">
        <v>43497</v>
      </c>
      <c r="B113" s="2">
        <v>239102156.85499999</v>
      </c>
      <c r="C113" s="2">
        <v>239102156.85499999</v>
      </c>
      <c r="D113" s="2">
        <v>498856</v>
      </c>
      <c r="E113" s="2">
        <v>11215666226.299999</v>
      </c>
      <c r="F113" s="2">
        <v>107.15</v>
      </c>
      <c r="G113" s="2">
        <v>2541271519</v>
      </c>
      <c r="H113" s="2">
        <v>15300.65625</v>
      </c>
      <c r="I113" s="2">
        <v>358.55844087100002</v>
      </c>
      <c r="J113" s="2" t="s">
        <v>2301</v>
      </c>
      <c r="K113" s="2">
        <v>0</v>
      </c>
      <c r="L113" s="2">
        <v>2.9399999999999999E-4</v>
      </c>
      <c r="M113" s="2">
        <v>2408027966910000</v>
      </c>
      <c r="N113" s="2">
        <v>204776</v>
      </c>
      <c r="O113" s="2">
        <v>98770059</v>
      </c>
      <c r="P113" s="2">
        <v>4848</v>
      </c>
    </row>
    <row r="114" spans="1:16" x14ac:dyDescent="0.25">
      <c r="A114" s="1">
        <v>43496</v>
      </c>
      <c r="B114" s="2">
        <v>283619107.29500002</v>
      </c>
      <c r="C114" s="2">
        <v>283619107.29500002</v>
      </c>
      <c r="D114" s="2">
        <v>517057</v>
      </c>
      <c r="E114" s="2">
        <v>11397307081.700001</v>
      </c>
      <c r="F114" s="2">
        <v>108.9</v>
      </c>
      <c r="G114" s="2">
        <v>2828796031</v>
      </c>
      <c r="H114" s="2">
        <v>15653.4375</v>
      </c>
      <c r="I114" s="2">
        <v>390.38591444399998</v>
      </c>
      <c r="J114" s="2" t="s">
        <v>2302</v>
      </c>
      <c r="K114" s="2">
        <v>0</v>
      </c>
      <c r="L114" s="2">
        <v>3.3954299999999998E-4</v>
      </c>
      <c r="M114" s="2">
        <v>2465757939830000</v>
      </c>
      <c r="N114" s="2">
        <v>211310</v>
      </c>
      <c r="O114" s="2">
        <v>102578836</v>
      </c>
      <c r="P114" s="2">
        <v>4931</v>
      </c>
    </row>
    <row r="115" spans="1:16" x14ac:dyDescent="0.25">
      <c r="A115" s="1">
        <v>43495</v>
      </c>
      <c r="B115" s="2">
        <v>299547470.70700002</v>
      </c>
      <c r="C115" s="2">
        <v>299547470.70700002</v>
      </c>
      <c r="D115" s="2">
        <v>555347</v>
      </c>
      <c r="E115" s="2">
        <v>11030044271.1</v>
      </c>
      <c r="F115" s="2">
        <v>105.41</v>
      </c>
      <c r="G115" s="2">
        <v>2874370355</v>
      </c>
      <c r="H115" s="2">
        <v>15555.375</v>
      </c>
      <c r="I115" s="2">
        <v>351.00838859800001</v>
      </c>
      <c r="J115" s="2" t="s">
        <v>2303</v>
      </c>
      <c r="K115" s="2">
        <v>0</v>
      </c>
      <c r="L115" s="2">
        <v>2.9478703125000001E-4</v>
      </c>
      <c r="M115" s="2">
        <v>2404536518740000</v>
      </c>
      <c r="N115" s="2">
        <v>225687</v>
      </c>
      <c r="O115" s="2">
        <v>106740760</v>
      </c>
      <c r="P115" s="2">
        <v>4949</v>
      </c>
    </row>
    <row r="116" spans="1:16" x14ac:dyDescent="0.25">
      <c r="A116" s="1">
        <v>43494</v>
      </c>
      <c r="B116" s="2">
        <v>277778360.08899999</v>
      </c>
      <c r="C116" s="2">
        <v>277778360.08899999</v>
      </c>
      <c r="D116" s="2">
        <v>566026</v>
      </c>
      <c r="E116" s="2">
        <v>11165526783.5</v>
      </c>
      <c r="F116" s="2">
        <v>106.72</v>
      </c>
      <c r="G116" s="2">
        <v>2900418606</v>
      </c>
      <c r="H116" s="2">
        <v>15463.78125</v>
      </c>
      <c r="I116" s="2">
        <v>328.59282829900002</v>
      </c>
      <c r="J116" s="2" t="s">
        <v>2304</v>
      </c>
      <c r="K116" s="2">
        <v>0</v>
      </c>
      <c r="L116" s="2">
        <v>2.6209950000000002E-4</v>
      </c>
      <c r="M116" s="2">
        <v>2443767712360000</v>
      </c>
      <c r="N116" s="2">
        <v>228672</v>
      </c>
      <c r="O116" s="2">
        <v>107642118</v>
      </c>
      <c r="P116" s="2">
        <v>4870</v>
      </c>
    </row>
    <row r="117" spans="1:16" x14ac:dyDescent="0.25">
      <c r="A117" s="1">
        <v>43493</v>
      </c>
      <c r="B117" s="2">
        <v>411752065.40799999</v>
      </c>
      <c r="C117" s="2">
        <v>411752065.40799999</v>
      </c>
      <c r="D117" s="2">
        <v>568564</v>
      </c>
      <c r="E117" s="2">
        <v>11851354116</v>
      </c>
      <c r="F117" s="2">
        <v>113.29</v>
      </c>
      <c r="G117" s="2">
        <v>3366895505</v>
      </c>
      <c r="H117" s="2">
        <v>15416.71875</v>
      </c>
      <c r="I117" s="2">
        <v>373.14507276000001</v>
      </c>
      <c r="J117" s="2" t="s">
        <v>2305</v>
      </c>
      <c r="K117" s="2">
        <v>6.2309499999999997E-2</v>
      </c>
      <c r="L117" s="2">
        <v>3.1135750000000002E-4</v>
      </c>
      <c r="M117" s="2">
        <v>2605258504640000</v>
      </c>
      <c r="N117" s="2">
        <v>259964</v>
      </c>
      <c r="O117" s="2">
        <v>105383593</v>
      </c>
      <c r="P117" s="2">
        <v>4884</v>
      </c>
    </row>
    <row r="118" spans="1:16" x14ac:dyDescent="0.25">
      <c r="A118" s="1">
        <v>43492</v>
      </c>
      <c r="B118" s="2">
        <v>238816986.208</v>
      </c>
      <c r="C118" s="2">
        <v>238816986.208</v>
      </c>
      <c r="D118" s="2">
        <v>488814</v>
      </c>
      <c r="E118" s="2">
        <v>12185904100</v>
      </c>
      <c r="F118" s="2">
        <v>116.51</v>
      </c>
      <c r="G118" s="2">
        <v>2775888287</v>
      </c>
      <c r="H118" s="2">
        <v>15846.1875</v>
      </c>
      <c r="I118" s="2">
        <v>270.24094891800002</v>
      </c>
      <c r="J118" s="2" t="s">
        <v>2306</v>
      </c>
      <c r="K118" s="2">
        <v>0</v>
      </c>
      <c r="L118" s="2">
        <v>2.1408000000000001E-4</v>
      </c>
      <c r="M118" s="2">
        <v>2739500796180000</v>
      </c>
      <c r="N118" s="2">
        <v>209391</v>
      </c>
      <c r="O118" s="2">
        <v>91605507</v>
      </c>
      <c r="P118" s="2">
        <v>5013</v>
      </c>
    </row>
    <row r="119" spans="1:16" x14ac:dyDescent="0.25">
      <c r="A119" s="1">
        <v>43491</v>
      </c>
      <c r="B119" s="2">
        <v>163994109.377</v>
      </c>
      <c r="C119" s="2">
        <v>163994109.377</v>
      </c>
      <c r="D119" s="2">
        <v>464380</v>
      </c>
      <c r="E119" s="2">
        <v>12169788739.700001</v>
      </c>
      <c r="F119" s="2">
        <v>116.37</v>
      </c>
      <c r="G119" s="2">
        <v>2412181169</v>
      </c>
      <c r="H119" s="2">
        <v>16004.53125</v>
      </c>
      <c r="I119" s="2">
        <v>272.38080166999998</v>
      </c>
      <c r="J119" s="2" t="s">
        <v>2307</v>
      </c>
      <c r="K119" s="2">
        <v>0</v>
      </c>
      <c r="L119" s="2">
        <v>2.52E-4</v>
      </c>
      <c r="M119" s="2">
        <v>2749133557020000</v>
      </c>
      <c r="N119" s="2">
        <v>199917</v>
      </c>
      <c r="O119" s="2">
        <v>88065902</v>
      </c>
      <c r="P119" s="2">
        <v>5055</v>
      </c>
    </row>
    <row r="120" spans="1:16" x14ac:dyDescent="0.25">
      <c r="A120" s="1">
        <v>43490</v>
      </c>
      <c r="B120" s="2">
        <v>259205748.05399999</v>
      </c>
      <c r="C120" s="2">
        <v>259205748.05399999</v>
      </c>
      <c r="D120" s="2">
        <v>504903</v>
      </c>
      <c r="E120" s="2">
        <v>12295452390.1</v>
      </c>
      <c r="F120" s="2">
        <v>117.59</v>
      </c>
      <c r="G120" s="2">
        <v>2606881898</v>
      </c>
      <c r="H120" s="2">
        <v>16080.09375</v>
      </c>
      <c r="I120" s="2">
        <v>324.85436261000001</v>
      </c>
      <c r="J120" s="2" t="s">
        <v>2308</v>
      </c>
      <c r="K120" s="2">
        <v>0</v>
      </c>
      <c r="L120" s="2">
        <v>2.8124459999999998E-4</v>
      </c>
      <c r="M120" s="2">
        <v>2812524215140000</v>
      </c>
      <c r="N120" s="2">
        <v>211508</v>
      </c>
      <c r="O120" s="2">
        <v>93491404</v>
      </c>
      <c r="P120" s="2">
        <v>5106</v>
      </c>
    </row>
    <row r="121" spans="1:16" x14ac:dyDescent="0.25">
      <c r="A121" s="1">
        <v>43489</v>
      </c>
      <c r="B121" s="2">
        <v>313910080.23400003</v>
      </c>
      <c r="C121" s="2">
        <v>313910080.23400003</v>
      </c>
      <c r="D121" s="2">
        <v>520130</v>
      </c>
      <c r="E121" s="2">
        <v>12280447354.700001</v>
      </c>
      <c r="F121" s="2">
        <v>117.46</v>
      </c>
      <c r="G121" s="2">
        <v>2520843420</v>
      </c>
      <c r="H121" s="2">
        <v>16080.46875</v>
      </c>
      <c r="I121" s="2">
        <v>355.082550363</v>
      </c>
      <c r="J121" s="2" t="s">
        <v>2309</v>
      </c>
      <c r="K121" s="2">
        <v>0</v>
      </c>
      <c r="L121" s="2">
        <v>3.0791400000000001E-4</v>
      </c>
      <c r="M121" s="2">
        <v>2805104849380000</v>
      </c>
      <c r="N121" s="2">
        <v>206815</v>
      </c>
      <c r="O121" s="2">
        <v>100916704</v>
      </c>
      <c r="P121" s="2">
        <v>5086</v>
      </c>
    </row>
    <row r="122" spans="1:16" x14ac:dyDescent="0.25">
      <c r="A122" s="1">
        <v>43488</v>
      </c>
      <c r="B122" s="2">
        <v>256806225.36399999</v>
      </c>
      <c r="C122" s="2">
        <v>256806225.36399999</v>
      </c>
      <c r="D122" s="2">
        <v>533819</v>
      </c>
      <c r="E122" s="2">
        <v>12409194321.200001</v>
      </c>
      <c r="F122" s="2">
        <v>118.71</v>
      </c>
      <c r="G122" s="2">
        <v>2556952198</v>
      </c>
      <c r="H122" s="2">
        <v>15758.34375</v>
      </c>
      <c r="I122" s="2">
        <v>344.27298873699999</v>
      </c>
      <c r="J122" s="2" t="s">
        <v>2310</v>
      </c>
      <c r="K122" s="2">
        <v>0</v>
      </c>
      <c r="L122" s="2">
        <v>2.9592000000000003E-4</v>
      </c>
      <c r="M122" s="2">
        <v>2752834586060000</v>
      </c>
      <c r="N122" s="2">
        <v>212330</v>
      </c>
      <c r="O122" s="2">
        <v>103362771</v>
      </c>
      <c r="P122" s="2">
        <v>4991</v>
      </c>
    </row>
    <row r="123" spans="1:16" x14ac:dyDescent="0.25">
      <c r="A123" s="1">
        <v>43487</v>
      </c>
      <c r="B123" s="2">
        <v>245524186.03299999</v>
      </c>
      <c r="C123" s="2">
        <v>245524186.03299999</v>
      </c>
      <c r="D123" s="2">
        <v>605558</v>
      </c>
      <c r="E123" s="2">
        <v>12239570182.299999</v>
      </c>
      <c r="F123" s="2">
        <v>117.11</v>
      </c>
      <c r="G123" s="2">
        <v>2552507405</v>
      </c>
      <c r="H123" s="2">
        <v>16084.78125</v>
      </c>
      <c r="I123" s="2">
        <v>486.43093357999999</v>
      </c>
      <c r="J123" s="2" t="s">
        <v>2311</v>
      </c>
      <c r="K123" s="2">
        <v>0</v>
      </c>
      <c r="L123" s="2">
        <v>2.7586800000000002E-4</v>
      </c>
      <c r="M123" s="2">
        <v>2878752296510000</v>
      </c>
      <c r="N123" s="2">
        <v>201651</v>
      </c>
      <c r="O123" s="2">
        <v>115189315</v>
      </c>
      <c r="P123" s="2">
        <v>5072</v>
      </c>
    </row>
    <row r="124" spans="1:16" x14ac:dyDescent="0.25">
      <c r="A124" s="1">
        <v>43486</v>
      </c>
      <c r="B124" s="2">
        <v>244381549.38100001</v>
      </c>
      <c r="C124" s="2">
        <v>244381549.38100001</v>
      </c>
      <c r="D124" s="2">
        <v>582751</v>
      </c>
      <c r="E124" s="2">
        <v>12502094274.200001</v>
      </c>
      <c r="F124" s="2">
        <v>119.64</v>
      </c>
      <c r="G124" s="2">
        <v>2421720343</v>
      </c>
      <c r="H124" s="2">
        <v>16141.125</v>
      </c>
      <c r="I124" s="2">
        <v>355.56777094900002</v>
      </c>
      <c r="J124" s="2" t="s">
        <v>2312</v>
      </c>
      <c r="K124" s="2">
        <v>0</v>
      </c>
      <c r="L124" s="2">
        <v>2.9735200000000002E-4</v>
      </c>
      <c r="M124" s="2">
        <v>2840844087620000</v>
      </c>
      <c r="N124" s="2">
        <v>210048</v>
      </c>
      <c r="O124" s="2">
        <v>108792729</v>
      </c>
      <c r="P124" s="2">
        <v>5094</v>
      </c>
    </row>
    <row r="125" spans="1:16" x14ac:dyDescent="0.25">
      <c r="A125" s="1">
        <v>43485</v>
      </c>
      <c r="B125" s="2">
        <v>236410235.785</v>
      </c>
      <c r="C125" s="2">
        <v>236410235.785</v>
      </c>
      <c r="D125" s="2">
        <v>537705</v>
      </c>
      <c r="E125" s="2">
        <v>13022292237.700001</v>
      </c>
      <c r="F125" s="2">
        <v>124.63</v>
      </c>
      <c r="G125" s="2">
        <v>2964108269</v>
      </c>
      <c r="H125" s="2">
        <v>17764.21875</v>
      </c>
      <c r="I125" s="2">
        <v>307.155158943</v>
      </c>
      <c r="J125" s="2" t="s">
        <v>2313</v>
      </c>
      <c r="K125" s="2">
        <v>0</v>
      </c>
      <c r="L125" s="2">
        <v>3.02418811695E-4</v>
      </c>
      <c r="M125" s="2">
        <v>2673566313440000</v>
      </c>
      <c r="N125" s="2">
        <v>183343</v>
      </c>
      <c r="O125" s="2">
        <v>99838678</v>
      </c>
      <c r="P125" s="2">
        <v>5599</v>
      </c>
    </row>
    <row r="126" spans="1:16" x14ac:dyDescent="0.25">
      <c r="A126" s="1">
        <v>43484</v>
      </c>
      <c r="B126" s="2">
        <v>196176065.678</v>
      </c>
      <c r="C126" s="2">
        <v>196176065.678</v>
      </c>
      <c r="D126" s="2">
        <v>539125</v>
      </c>
      <c r="E126" s="2">
        <v>12703962325.9</v>
      </c>
      <c r="F126" s="2">
        <v>121.61</v>
      </c>
      <c r="G126" s="2">
        <v>3048261797</v>
      </c>
      <c r="H126" s="2">
        <v>18009.5625</v>
      </c>
      <c r="I126" s="2">
        <v>331.14839967500001</v>
      </c>
      <c r="J126" s="2" t="s">
        <v>2314</v>
      </c>
      <c r="K126" s="2">
        <v>0</v>
      </c>
      <c r="L126" s="2">
        <v>2.3413049999999999E-4</v>
      </c>
      <c r="M126" s="2">
        <v>2637070458320000</v>
      </c>
      <c r="N126" s="2">
        <v>199599</v>
      </c>
      <c r="O126" s="2">
        <v>101514665</v>
      </c>
      <c r="P126" s="2">
        <v>5683</v>
      </c>
    </row>
    <row r="127" spans="1:16" x14ac:dyDescent="0.25">
      <c r="A127" s="1">
        <v>43483</v>
      </c>
      <c r="B127" s="2">
        <v>237099824.058</v>
      </c>
      <c r="C127" s="2">
        <v>237099824.058</v>
      </c>
      <c r="D127" s="2">
        <v>538899</v>
      </c>
      <c r="E127" s="2">
        <v>12914977045.4</v>
      </c>
      <c r="F127" s="2">
        <v>123.65</v>
      </c>
      <c r="G127" s="2">
        <v>2305389800</v>
      </c>
      <c r="H127" s="2">
        <v>17792.71875</v>
      </c>
      <c r="I127" s="2">
        <v>369.65528932799998</v>
      </c>
      <c r="J127" s="2" t="s">
        <v>2315</v>
      </c>
      <c r="K127" s="2">
        <v>0</v>
      </c>
      <c r="L127" s="2">
        <v>3.1500000000000001E-4</v>
      </c>
      <c r="M127" s="2">
        <v>2571663396290000</v>
      </c>
      <c r="N127" s="2">
        <v>211807</v>
      </c>
      <c r="O127" s="2">
        <v>99743845</v>
      </c>
      <c r="P127" s="2">
        <v>5619</v>
      </c>
    </row>
    <row r="128" spans="1:16" x14ac:dyDescent="0.25">
      <c r="A128" s="1">
        <v>43482</v>
      </c>
      <c r="B128" s="2">
        <v>310938211.60399997</v>
      </c>
      <c r="C128" s="2">
        <v>310938211.60399997</v>
      </c>
      <c r="D128" s="2">
        <v>517082</v>
      </c>
      <c r="E128" s="2">
        <v>12904593983.9</v>
      </c>
      <c r="F128" s="2">
        <v>123.57</v>
      </c>
      <c r="G128" s="2">
        <v>2594091285</v>
      </c>
      <c r="H128" s="2">
        <v>17704.125</v>
      </c>
      <c r="I128" s="2">
        <v>329.71790884799998</v>
      </c>
      <c r="J128" s="2" t="s">
        <v>2316</v>
      </c>
      <c r="K128" s="2">
        <v>0</v>
      </c>
      <c r="L128" s="2">
        <v>2.97368E-4</v>
      </c>
      <c r="M128" s="2">
        <v>2580831091840000</v>
      </c>
      <c r="N128" s="2">
        <v>204855</v>
      </c>
      <c r="O128" s="2">
        <v>99542772</v>
      </c>
      <c r="P128" s="2">
        <v>5561</v>
      </c>
    </row>
    <row r="129" spans="1:16" x14ac:dyDescent="0.25">
      <c r="A129" s="1">
        <v>43481</v>
      </c>
      <c r="B129" s="2">
        <v>355272872.87</v>
      </c>
      <c r="C129" s="2">
        <v>355272872.87</v>
      </c>
      <c r="D129" s="2">
        <v>507687</v>
      </c>
      <c r="E129" s="2">
        <v>12718139483.799999</v>
      </c>
      <c r="F129" s="2">
        <v>121.81</v>
      </c>
      <c r="G129" s="2">
        <v>2746469340</v>
      </c>
      <c r="H129" s="2">
        <v>17603.8125</v>
      </c>
      <c r="I129" s="2">
        <v>432.11669089999998</v>
      </c>
      <c r="J129" s="2" t="s">
        <v>2317</v>
      </c>
      <c r="K129" s="2">
        <v>0</v>
      </c>
      <c r="L129" s="2">
        <v>3.2306099999999998E-4</v>
      </c>
      <c r="M129" s="2">
        <v>2621048502730000</v>
      </c>
      <c r="N129" s="2">
        <v>206917</v>
      </c>
      <c r="O129" s="2">
        <v>99547503</v>
      </c>
      <c r="P129" s="2">
        <v>5528</v>
      </c>
    </row>
    <row r="130" spans="1:16" x14ac:dyDescent="0.25">
      <c r="A130" s="1">
        <v>43480</v>
      </c>
      <c r="B130" s="2">
        <v>362336222.764</v>
      </c>
      <c r="C130" s="2">
        <v>362336222.764</v>
      </c>
      <c r="D130" s="2">
        <v>539896</v>
      </c>
      <c r="E130" s="2">
        <v>13484936967.799999</v>
      </c>
      <c r="F130" s="2">
        <v>129.16999999999999</v>
      </c>
      <c r="G130" s="2">
        <v>2735449164</v>
      </c>
      <c r="H130" s="2">
        <v>17920.40625</v>
      </c>
      <c r="I130" s="2">
        <v>422.730695158</v>
      </c>
      <c r="J130" s="2" t="s">
        <v>2318</v>
      </c>
      <c r="K130" s="2">
        <v>0.16176837456000001</v>
      </c>
      <c r="L130" s="2">
        <v>3.7879E-4</v>
      </c>
      <c r="M130" s="2">
        <v>2702083965920000</v>
      </c>
      <c r="N130" s="2">
        <v>245817</v>
      </c>
      <c r="O130" s="2">
        <v>101558942</v>
      </c>
      <c r="P130" s="2">
        <v>5619</v>
      </c>
    </row>
    <row r="131" spans="1:16" x14ac:dyDescent="0.25">
      <c r="A131" s="1">
        <v>43479</v>
      </c>
      <c r="B131" s="2">
        <v>460766786.06199998</v>
      </c>
      <c r="C131" s="2">
        <v>460766786.06199998</v>
      </c>
      <c r="D131" s="2">
        <v>577239</v>
      </c>
      <c r="E131" s="2">
        <v>12209854162.4</v>
      </c>
      <c r="F131" s="2">
        <v>116.98</v>
      </c>
      <c r="G131" s="2">
        <v>2798085735</v>
      </c>
      <c r="H131" s="2">
        <v>18008.90625</v>
      </c>
      <c r="I131" s="2">
        <v>507.872339114</v>
      </c>
      <c r="J131" s="2" t="s">
        <v>2319</v>
      </c>
      <c r="K131" s="2">
        <v>0.22974871999999999</v>
      </c>
      <c r="L131" s="2">
        <v>4.2000000000000002E-4</v>
      </c>
      <c r="M131" s="2">
        <v>2633341356910000</v>
      </c>
      <c r="N131" s="2">
        <v>268880</v>
      </c>
      <c r="O131" s="2">
        <v>103864746</v>
      </c>
      <c r="P131" s="2">
        <v>5629</v>
      </c>
    </row>
    <row r="132" spans="1:16" x14ac:dyDescent="0.25">
      <c r="A132" s="1">
        <v>43478</v>
      </c>
      <c r="B132" s="2">
        <v>371589434.25099999</v>
      </c>
      <c r="C132" s="2">
        <v>371589434.25099999</v>
      </c>
      <c r="D132" s="2">
        <v>481347</v>
      </c>
      <c r="E132" s="2">
        <v>13139541603.1</v>
      </c>
      <c r="F132" s="2">
        <v>125.91</v>
      </c>
      <c r="G132" s="2">
        <v>2268263944</v>
      </c>
      <c r="H132" s="2">
        <v>17957.34375</v>
      </c>
      <c r="I132" s="2">
        <v>266.11347970000003</v>
      </c>
      <c r="J132" s="2" t="s">
        <v>2320</v>
      </c>
      <c r="K132" s="2">
        <v>0</v>
      </c>
      <c r="L132" s="2">
        <v>2.1965400000000001E-4</v>
      </c>
      <c r="M132" s="2">
        <v>2608139705980000</v>
      </c>
      <c r="N132" s="2">
        <v>200583</v>
      </c>
      <c r="O132" s="2">
        <v>89019017</v>
      </c>
      <c r="P132" s="2">
        <v>5635</v>
      </c>
    </row>
    <row r="133" spans="1:16" x14ac:dyDescent="0.25">
      <c r="A133" s="1">
        <v>43477</v>
      </c>
      <c r="B133" s="2">
        <v>213637443.583</v>
      </c>
      <c r="C133" s="2">
        <v>213637443.583</v>
      </c>
      <c r="D133" s="2">
        <v>452707</v>
      </c>
      <c r="E133" s="2">
        <v>13306193269.1</v>
      </c>
      <c r="F133" s="2">
        <v>127.53</v>
      </c>
      <c r="G133" s="2">
        <v>2212109224</v>
      </c>
      <c r="H133" s="2">
        <v>17698.5</v>
      </c>
      <c r="I133" s="2">
        <v>247.106865677</v>
      </c>
      <c r="J133" s="2" t="s">
        <v>2321</v>
      </c>
      <c r="K133" s="2">
        <v>0</v>
      </c>
      <c r="L133" s="2">
        <v>2.1000000000000001E-4</v>
      </c>
      <c r="M133" s="2">
        <v>2624800536300000</v>
      </c>
      <c r="N133" s="2">
        <v>193480</v>
      </c>
      <c r="O133" s="2">
        <v>88199043</v>
      </c>
      <c r="P133" s="2">
        <v>5541</v>
      </c>
    </row>
    <row r="134" spans="1:16" x14ac:dyDescent="0.25">
      <c r="A134" s="1">
        <v>43476</v>
      </c>
      <c r="B134" s="2">
        <v>548692590.47099996</v>
      </c>
      <c r="C134" s="2">
        <v>548692590.47099996</v>
      </c>
      <c r="D134" s="2">
        <v>541838</v>
      </c>
      <c r="E134" s="2">
        <v>13333337737.9</v>
      </c>
      <c r="F134" s="2">
        <v>127.81</v>
      </c>
      <c r="G134" s="2">
        <v>2667585234</v>
      </c>
      <c r="H134" s="2">
        <v>17797.59375</v>
      </c>
      <c r="I134" s="2">
        <v>331.239542255</v>
      </c>
      <c r="J134" s="2" t="s">
        <v>2322</v>
      </c>
      <c r="K134" s="2">
        <v>1.0224799999999999E-2</v>
      </c>
      <c r="L134" s="2">
        <v>2.52E-4</v>
      </c>
      <c r="M134" s="2">
        <v>2692032647720000</v>
      </c>
      <c r="N134" s="2">
        <v>238023</v>
      </c>
      <c r="O134" s="2">
        <v>103992025</v>
      </c>
      <c r="P134" s="2">
        <v>5566</v>
      </c>
    </row>
    <row r="135" spans="1:16" x14ac:dyDescent="0.25">
      <c r="A135" s="1">
        <v>43475</v>
      </c>
      <c r="B135" s="2">
        <v>538861450.54499996</v>
      </c>
      <c r="C135" s="2">
        <v>538861450.54499996</v>
      </c>
      <c r="D135" s="2">
        <v>582839</v>
      </c>
      <c r="E135" s="2">
        <v>15732793682.299999</v>
      </c>
      <c r="F135" s="2">
        <v>150.84</v>
      </c>
      <c r="G135" s="2">
        <v>3397734456</v>
      </c>
      <c r="H135" s="2">
        <v>17846.8125</v>
      </c>
      <c r="I135" s="2">
        <v>365.211038358</v>
      </c>
      <c r="J135" s="2" t="s">
        <v>2323</v>
      </c>
      <c r="K135" s="2">
        <v>0</v>
      </c>
      <c r="L135" s="2">
        <v>2.8350000000000001E-4</v>
      </c>
      <c r="M135" s="2">
        <v>2674362619190000</v>
      </c>
      <c r="N135" s="2">
        <v>253966</v>
      </c>
      <c r="O135" s="2">
        <v>106629931</v>
      </c>
      <c r="P135" s="2">
        <v>5568</v>
      </c>
    </row>
    <row r="136" spans="1:16" x14ac:dyDescent="0.25">
      <c r="A136" s="1">
        <v>43474</v>
      </c>
      <c r="B136" s="2">
        <v>378986148.21100003</v>
      </c>
      <c r="C136" s="2">
        <v>378986148.21100003</v>
      </c>
      <c r="D136" s="2">
        <v>558847</v>
      </c>
      <c r="E136" s="2">
        <v>15700773354.1</v>
      </c>
      <c r="F136" s="2">
        <v>150.55000000000001</v>
      </c>
      <c r="G136" s="2">
        <v>2369241197</v>
      </c>
      <c r="H136" s="2">
        <v>18022.5</v>
      </c>
      <c r="I136" s="2">
        <v>299.297944411</v>
      </c>
      <c r="J136" s="2" t="s">
        <v>2324</v>
      </c>
      <c r="K136" s="2">
        <v>0</v>
      </c>
      <c r="L136" s="2">
        <v>2.2869000000000001E-4</v>
      </c>
      <c r="M136" s="2">
        <v>2703895132200000</v>
      </c>
      <c r="N136" s="2">
        <v>250844</v>
      </c>
      <c r="O136" s="2">
        <v>100223591</v>
      </c>
      <c r="P136" s="2">
        <v>5610</v>
      </c>
    </row>
    <row r="137" spans="1:16" x14ac:dyDescent="0.25">
      <c r="A137" s="1">
        <v>43473</v>
      </c>
      <c r="B137" s="2">
        <v>397226900.162</v>
      </c>
      <c r="C137" s="2">
        <v>397226900.162</v>
      </c>
      <c r="D137" s="2">
        <v>553367</v>
      </c>
      <c r="E137" s="2">
        <v>15845763024.799999</v>
      </c>
      <c r="F137" s="2">
        <v>151.97</v>
      </c>
      <c r="G137" s="2">
        <v>2459808140</v>
      </c>
      <c r="H137" s="2">
        <v>17777.90625</v>
      </c>
      <c r="I137" s="2">
        <v>312.987854562</v>
      </c>
      <c r="J137" s="2" t="s">
        <v>2325</v>
      </c>
      <c r="K137" s="2">
        <v>1.3541286850000001E-2</v>
      </c>
      <c r="L137" s="2">
        <v>2.5273599999999999E-4</v>
      </c>
      <c r="M137" s="2">
        <v>2668628294540000</v>
      </c>
      <c r="N137" s="2">
        <v>253770</v>
      </c>
      <c r="O137" s="2">
        <v>99648671</v>
      </c>
      <c r="P137" s="2">
        <v>5562</v>
      </c>
    </row>
    <row r="138" spans="1:16" x14ac:dyDescent="0.25">
      <c r="A138" s="1">
        <v>43472</v>
      </c>
      <c r="B138" s="2">
        <v>458787464.27700001</v>
      </c>
      <c r="C138" s="2">
        <v>458787464.27700001</v>
      </c>
      <c r="D138" s="2">
        <v>550964</v>
      </c>
      <c r="E138" s="2">
        <v>16451841964.9</v>
      </c>
      <c r="F138" s="2">
        <v>157.81</v>
      </c>
      <c r="G138" s="2">
        <v>2712108388</v>
      </c>
      <c r="H138" s="2">
        <v>18041.625</v>
      </c>
      <c r="I138" s="2">
        <v>336.386276076</v>
      </c>
      <c r="J138" s="2" t="s">
        <v>2326</v>
      </c>
      <c r="K138" s="2">
        <v>7.5748799999999995E-4</v>
      </c>
      <c r="L138" s="2">
        <v>2.52E-4</v>
      </c>
      <c r="M138" s="2">
        <v>2701574064120000</v>
      </c>
      <c r="N138" s="2">
        <v>250063</v>
      </c>
      <c r="O138" s="2">
        <v>102124541</v>
      </c>
      <c r="P138" s="2">
        <v>5610</v>
      </c>
    </row>
    <row r="139" spans="1:16" x14ac:dyDescent="0.25">
      <c r="A139" s="1">
        <v>43471</v>
      </c>
      <c r="B139" s="2">
        <v>427728412.79000002</v>
      </c>
      <c r="C139" s="2">
        <v>427728412.79000002</v>
      </c>
      <c r="D139" s="2">
        <v>487372</v>
      </c>
      <c r="E139" s="2">
        <v>16239178796.700001</v>
      </c>
      <c r="F139" s="2">
        <v>155.80000000000001</v>
      </c>
      <c r="G139" s="2">
        <v>3231294371</v>
      </c>
      <c r="H139" s="2">
        <v>17807.34375</v>
      </c>
      <c r="I139" s="2">
        <v>299.719298955</v>
      </c>
      <c r="J139" s="2" t="s">
        <v>2327</v>
      </c>
      <c r="K139" s="2">
        <v>0</v>
      </c>
      <c r="L139" s="2">
        <v>2.2110599999999999E-4</v>
      </c>
      <c r="M139" s="2">
        <v>2696379667580000</v>
      </c>
      <c r="N139" s="2">
        <v>214227</v>
      </c>
      <c r="O139" s="2">
        <v>88550926</v>
      </c>
      <c r="P139" s="2">
        <v>5585</v>
      </c>
    </row>
    <row r="140" spans="1:16" x14ac:dyDescent="0.25">
      <c r="A140" s="1">
        <v>43470</v>
      </c>
      <c r="B140" s="2">
        <v>701133237.03900003</v>
      </c>
      <c r="C140" s="2">
        <v>701133237.03900003</v>
      </c>
      <c r="D140" s="2">
        <v>511189</v>
      </c>
      <c r="E140" s="2">
        <v>16084495644.700001</v>
      </c>
      <c r="F140" s="2">
        <v>154.34</v>
      </c>
      <c r="G140" s="2">
        <v>3338211928</v>
      </c>
      <c r="H140" s="2">
        <v>18022.125</v>
      </c>
      <c r="I140" s="2">
        <v>494.482682356</v>
      </c>
      <c r="J140" s="2" t="s">
        <v>2328</v>
      </c>
      <c r="K140" s="2">
        <v>0</v>
      </c>
      <c r="L140" s="2">
        <v>2.1003999999999999E-4</v>
      </c>
      <c r="M140" s="2">
        <v>2637334375700000</v>
      </c>
      <c r="N140" s="2">
        <v>215515</v>
      </c>
      <c r="O140" s="2">
        <v>97513081</v>
      </c>
      <c r="P140" s="2">
        <v>5620</v>
      </c>
    </row>
    <row r="141" spans="1:16" x14ac:dyDescent="0.25">
      <c r="A141" s="1">
        <v>43469</v>
      </c>
      <c r="B141" s="2">
        <v>625582081.72300005</v>
      </c>
      <c r="C141" s="2">
        <v>625582081.72300005</v>
      </c>
      <c r="D141" s="2">
        <v>549398</v>
      </c>
      <c r="E141" s="2">
        <v>15516260251.799999</v>
      </c>
      <c r="F141" s="2">
        <v>148.91</v>
      </c>
      <c r="G141" s="2">
        <v>3126192535</v>
      </c>
      <c r="H141" s="2">
        <v>17831.90625</v>
      </c>
      <c r="I141" s="2">
        <v>360.32444639300002</v>
      </c>
      <c r="J141" s="2" t="s">
        <v>2329</v>
      </c>
      <c r="K141" s="2">
        <v>0</v>
      </c>
      <c r="L141" s="2">
        <v>3.0790260000000002E-4</v>
      </c>
      <c r="M141" s="2">
        <v>2592140443990000</v>
      </c>
      <c r="N141" s="2">
        <v>228013</v>
      </c>
      <c r="O141" s="2">
        <v>104815780</v>
      </c>
      <c r="P141" s="2">
        <v>5554</v>
      </c>
    </row>
    <row r="142" spans="1:16" x14ac:dyDescent="0.25">
      <c r="A142" s="1">
        <v>43468</v>
      </c>
      <c r="B142" s="2">
        <v>430476600.55299997</v>
      </c>
      <c r="C142" s="2">
        <v>430476600.55299997</v>
      </c>
      <c r="D142" s="2">
        <v>596620</v>
      </c>
      <c r="E142" s="2">
        <v>16168158174</v>
      </c>
      <c r="F142" s="2">
        <v>155.19999999999999</v>
      </c>
      <c r="G142" s="2">
        <v>2676164880</v>
      </c>
      <c r="H142" s="2">
        <v>17933.25</v>
      </c>
      <c r="I142" s="2">
        <v>328.04237843300001</v>
      </c>
      <c r="J142" s="2" t="s">
        <v>2330</v>
      </c>
      <c r="K142" s="2">
        <v>0</v>
      </c>
      <c r="L142" s="2">
        <v>2.2346399999999999E-4</v>
      </c>
      <c r="M142" s="2">
        <v>2591199568570000</v>
      </c>
      <c r="N142" s="2">
        <v>225762</v>
      </c>
      <c r="O142" s="2">
        <v>107932770</v>
      </c>
      <c r="P142" s="2">
        <v>5580</v>
      </c>
    </row>
    <row r="143" spans="1:16" x14ac:dyDescent="0.25">
      <c r="A143" s="1">
        <v>43467</v>
      </c>
      <c r="B143" s="2">
        <v>434866960.88200003</v>
      </c>
      <c r="C143" s="2">
        <v>434866960.88200003</v>
      </c>
      <c r="D143" s="2">
        <v>589959</v>
      </c>
      <c r="E143" s="2">
        <v>14740761445.5</v>
      </c>
      <c r="F143" s="2">
        <v>141.52000000000001</v>
      </c>
      <c r="G143" s="2">
        <v>3328240369</v>
      </c>
      <c r="H143" s="2">
        <v>19119.65625</v>
      </c>
      <c r="I143" s="2">
        <v>346.532897064</v>
      </c>
      <c r="J143" s="2" t="s">
        <v>2331</v>
      </c>
      <c r="K143" s="2">
        <v>0</v>
      </c>
      <c r="L143" s="2">
        <v>2.6625900000000003E-4</v>
      </c>
      <c r="M143" s="2">
        <v>2424370581380000</v>
      </c>
      <c r="N143" s="2">
        <v>227063</v>
      </c>
      <c r="O143" s="2">
        <v>107506091</v>
      </c>
      <c r="P143" s="2">
        <v>5931</v>
      </c>
    </row>
    <row r="144" spans="1:16" x14ac:dyDescent="0.25">
      <c r="A144" s="1">
        <v>43466</v>
      </c>
      <c r="B144" s="2">
        <v>246009726.035</v>
      </c>
      <c r="C144" s="2">
        <v>246009726.035</v>
      </c>
      <c r="D144" s="2">
        <v>448168</v>
      </c>
      <c r="E144" s="2">
        <v>13894665366.6</v>
      </c>
      <c r="F144" s="2">
        <v>133.41999999999999</v>
      </c>
      <c r="G144" s="2">
        <v>2258709868</v>
      </c>
      <c r="H144" s="2">
        <v>18717.75</v>
      </c>
      <c r="I144" s="2">
        <v>302.73953721399999</v>
      </c>
      <c r="J144" s="2" t="s">
        <v>2332</v>
      </c>
      <c r="K144" s="2">
        <v>0</v>
      </c>
      <c r="L144" s="2">
        <v>2.2760400000000001E-4</v>
      </c>
      <c r="M144" s="2">
        <v>2398246576920000</v>
      </c>
      <c r="N144" s="2">
        <v>191467</v>
      </c>
      <c r="O144" s="2">
        <v>80232633</v>
      </c>
      <c r="P144" s="2">
        <v>5871</v>
      </c>
    </row>
    <row r="145" spans="1:16" x14ac:dyDescent="0.25">
      <c r="A145" s="1">
        <v>43465</v>
      </c>
      <c r="B145" s="2">
        <v>333245860.74400002</v>
      </c>
      <c r="C145" s="2">
        <v>333245860.74400002</v>
      </c>
      <c r="D145" s="2">
        <v>522040</v>
      </c>
      <c r="E145" s="2">
        <v>14580294574</v>
      </c>
      <c r="F145" s="2">
        <v>140.03</v>
      </c>
      <c r="G145" s="2">
        <v>2358360234</v>
      </c>
      <c r="H145" s="2">
        <v>19000.875</v>
      </c>
      <c r="I145" s="2">
        <v>332.25331441399999</v>
      </c>
      <c r="J145" s="2" t="s">
        <v>2333</v>
      </c>
      <c r="K145" s="2">
        <v>0</v>
      </c>
      <c r="L145" s="2">
        <v>2.7383000000000003E-4</v>
      </c>
      <c r="M145" s="2">
        <v>2504221630110000</v>
      </c>
      <c r="N145" s="2">
        <v>212294</v>
      </c>
      <c r="O145" s="2">
        <v>97712799</v>
      </c>
      <c r="P145" s="2">
        <v>5921</v>
      </c>
    </row>
    <row r="146" spans="1:16" x14ac:dyDescent="0.25">
      <c r="A146" s="1">
        <v>43464</v>
      </c>
      <c r="B146" s="2">
        <v>254118804.002</v>
      </c>
      <c r="C146" s="2">
        <v>254118804.002</v>
      </c>
      <c r="D146" s="2">
        <v>460395</v>
      </c>
      <c r="E146" s="2">
        <v>14327912907.700001</v>
      </c>
      <c r="F146" s="2">
        <v>137.63</v>
      </c>
      <c r="G146" s="2">
        <v>2660086834</v>
      </c>
      <c r="H146" s="2">
        <v>18847.40625</v>
      </c>
      <c r="I146" s="2">
        <v>565.47770083900002</v>
      </c>
      <c r="J146" s="2" t="s">
        <v>2334</v>
      </c>
      <c r="K146" s="2">
        <v>0.13763</v>
      </c>
      <c r="L146" s="2">
        <v>3.1500000000000001E-4</v>
      </c>
      <c r="M146" s="2">
        <v>2493085723020000</v>
      </c>
      <c r="N146" s="2">
        <v>205245</v>
      </c>
      <c r="O146" s="2">
        <v>85611940</v>
      </c>
      <c r="P146" s="2">
        <v>5886</v>
      </c>
    </row>
    <row r="147" spans="1:16" x14ac:dyDescent="0.25">
      <c r="A147" s="1">
        <v>43463</v>
      </c>
      <c r="B147" s="2">
        <v>566632910.82200003</v>
      </c>
      <c r="C147" s="2">
        <v>566632910.82200003</v>
      </c>
      <c r="D147" s="2">
        <v>543746</v>
      </c>
      <c r="E147" s="2">
        <v>14412635398.700001</v>
      </c>
      <c r="F147" s="2">
        <v>138.47</v>
      </c>
      <c r="G147" s="2">
        <v>3169029972</v>
      </c>
      <c r="H147" s="2">
        <v>19155.375</v>
      </c>
      <c r="I147" s="2">
        <v>321.05411480999999</v>
      </c>
      <c r="J147" s="2" t="s">
        <v>2335</v>
      </c>
      <c r="K147" s="2">
        <v>0</v>
      </c>
      <c r="L147" s="2">
        <v>2.3032799999999999E-4</v>
      </c>
      <c r="M147" s="2">
        <v>2438650420450000</v>
      </c>
      <c r="N147" s="2">
        <v>240887</v>
      </c>
      <c r="O147" s="2">
        <v>100827042</v>
      </c>
      <c r="P147" s="2">
        <v>5960</v>
      </c>
    </row>
    <row r="148" spans="1:16" x14ac:dyDescent="0.25">
      <c r="A148" s="1">
        <v>43462</v>
      </c>
      <c r="B148" s="2">
        <v>390977610.708</v>
      </c>
      <c r="C148" s="2">
        <v>390977610.708</v>
      </c>
      <c r="D148" s="2">
        <v>572189</v>
      </c>
      <c r="E148" s="2">
        <v>12165168176.5</v>
      </c>
      <c r="F148" s="2">
        <v>116.9</v>
      </c>
      <c r="G148" s="2">
        <v>3130201009</v>
      </c>
      <c r="H148" s="2">
        <v>18980.15625</v>
      </c>
      <c r="I148" s="2">
        <v>363.67740464399998</v>
      </c>
      <c r="J148" s="2" t="s">
        <v>2336</v>
      </c>
      <c r="K148" s="2">
        <v>0</v>
      </c>
      <c r="L148" s="2">
        <v>3.0758400000000001E-4</v>
      </c>
      <c r="M148" s="2">
        <v>2451909893630000</v>
      </c>
      <c r="N148" s="2">
        <v>244449</v>
      </c>
      <c r="O148" s="2">
        <v>105795350</v>
      </c>
      <c r="P148" s="2">
        <v>5907</v>
      </c>
    </row>
    <row r="149" spans="1:16" x14ac:dyDescent="0.25">
      <c r="A149" s="1">
        <v>43461</v>
      </c>
      <c r="B149" s="2">
        <v>436268973.73900002</v>
      </c>
      <c r="C149" s="2">
        <v>436268973.73900002</v>
      </c>
      <c r="D149" s="2">
        <v>548411</v>
      </c>
      <c r="E149" s="2">
        <v>13725533932.5</v>
      </c>
      <c r="F149" s="2">
        <v>131.91999999999999</v>
      </c>
      <c r="G149" s="2">
        <v>2612804378</v>
      </c>
      <c r="H149" s="2">
        <v>18935.8125</v>
      </c>
      <c r="I149" s="2">
        <v>339.14749471900001</v>
      </c>
      <c r="J149" s="2" t="s">
        <v>2337</v>
      </c>
      <c r="K149" s="2">
        <v>0</v>
      </c>
      <c r="L149" s="2">
        <v>2.728737E-4</v>
      </c>
      <c r="M149" s="2">
        <v>2498949194710000</v>
      </c>
      <c r="N149" s="2">
        <v>233443</v>
      </c>
      <c r="O149" s="2">
        <v>103505570</v>
      </c>
      <c r="P149" s="2">
        <v>5893</v>
      </c>
    </row>
    <row r="150" spans="1:16" x14ac:dyDescent="0.25">
      <c r="A150" s="1">
        <v>43460</v>
      </c>
      <c r="B150" s="2">
        <v>303907939.18900001</v>
      </c>
      <c r="C150" s="2">
        <v>303907939.18900001</v>
      </c>
      <c r="D150" s="2">
        <v>560047</v>
      </c>
      <c r="E150" s="2">
        <v>13511887620.9</v>
      </c>
      <c r="F150" s="2">
        <v>129.88999999999999</v>
      </c>
      <c r="G150" s="2">
        <v>2720469126</v>
      </c>
      <c r="H150" s="2">
        <v>19244.4375</v>
      </c>
      <c r="I150" s="2">
        <v>507.34548676999998</v>
      </c>
      <c r="J150" s="2" t="s">
        <v>2338</v>
      </c>
      <c r="K150" s="2">
        <v>0</v>
      </c>
      <c r="L150" s="2">
        <v>2.7720000000000002E-4</v>
      </c>
      <c r="M150" s="2">
        <v>2526466171410000</v>
      </c>
      <c r="N150" s="2">
        <v>235481</v>
      </c>
      <c r="O150" s="2">
        <v>110240420</v>
      </c>
      <c r="P150" s="2">
        <v>5961</v>
      </c>
    </row>
    <row r="151" spans="1:16" x14ac:dyDescent="0.25">
      <c r="A151" s="1">
        <v>43459</v>
      </c>
      <c r="B151" s="2">
        <v>374432721.23900002</v>
      </c>
      <c r="C151" s="2">
        <v>374432721.23900002</v>
      </c>
      <c r="D151" s="2">
        <v>535001</v>
      </c>
      <c r="E151" s="2">
        <v>14665877925.799999</v>
      </c>
      <c r="F151" s="2">
        <v>141</v>
      </c>
      <c r="G151" s="2">
        <v>3298280609</v>
      </c>
      <c r="H151" s="2">
        <v>19079.4375</v>
      </c>
      <c r="I151" s="2">
        <v>439.25991185700002</v>
      </c>
      <c r="J151" s="2" t="s">
        <v>2339</v>
      </c>
      <c r="K151" s="2">
        <v>0</v>
      </c>
      <c r="L151" s="2">
        <v>3.6016679999999998E-4</v>
      </c>
      <c r="M151" s="2">
        <v>2456450188200000</v>
      </c>
      <c r="N151" s="2">
        <v>235851</v>
      </c>
      <c r="O151" s="2">
        <v>98183178</v>
      </c>
      <c r="P151" s="2">
        <v>5967</v>
      </c>
    </row>
    <row r="152" spans="1:16" x14ac:dyDescent="0.25">
      <c r="A152" s="1">
        <v>43458</v>
      </c>
      <c r="B152" s="2">
        <v>590801661.727</v>
      </c>
      <c r="C152" s="2">
        <v>590801661.727</v>
      </c>
      <c r="D152" s="2">
        <v>615551</v>
      </c>
      <c r="E152" s="2">
        <v>13585160761.200001</v>
      </c>
      <c r="F152" s="2">
        <v>130.63999999999999</v>
      </c>
      <c r="G152" s="2">
        <v>4370343387</v>
      </c>
      <c r="H152" s="2">
        <v>19045.03125</v>
      </c>
      <c r="I152" s="2">
        <v>440.59749962500001</v>
      </c>
      <c r="J152" s="2" t="s">
        <v>2340</v>
      </c>
      <c r="K152" s="2">
        <v>0</v>
      </c>
      <c r="L152" s="2">
        <v>3.4948934999999998E-4</v>
      </c>
      <c r="M152" s="2">
        <v>2386131983290000</v>
      </c>
      <c r="N152" s="2">
        <v>270176</v>
      </c>
      <c r="O152" s="2">
        <v>112906514</v>
      </c>
      <c r="P152" s="2">
        <v>5927</v>
      </c>
    </row>
    <row r="153" spans="1:16" x14ac:dyDescent="0.25">
      <c r="A153" s="1">
        <v>43457</v>
      </c>
      <c r="B153" s="2">
        <v>403800705.92900002</v>
      </c>
      <c r="C153" s="2">
        <v>403800705.92900002</v>
      </c>
      <c r="D153" s="2">
        <v>543655</v>
      </c>
      <c r="E153" s="2">
        <v>12192320519.5</v>
      </c>
      <c r="F153" s="2">
        <v>117.27</v>
      </c>
      <c r="G153" s="2">
        <v>3579715061</v>
      </c>
      <c r="H153" s="2">
        <v>18869.4375</v>
      </c>
      <c r="I153" s="2">
        <v>362.01336361400001</v>
      </c>
      <c r="J153" s="2" t="s">
        <v>2341</v>
      </c>
      <c r="K153" s="2">
        <v>1.1727E-5</v>
      </c>
      <c r="L153" s="2">
        <v>3.3049499999999999E-4</v>
      </c>
      <c r="M153" s="2">
        <v>2300951669670000</v>
      </c>
      <c r="N153" s="2">
        <v>242279</v>
      </c>
      <c r="O153" s="2">
        <v>101422530</v>
      </c>
      <c r="P153" s="2">
        <v>5865</v>
      </c>
    </row>
    <row r="154" spans="1:16" x14ac:dyDescent="0.25">
      <c r="A154" s="1">
        <v>43456</v>
      </c>
      <c r="B154" s="2">
        <v>316505787.76700002</v>
      </c>
      <c r="C154" s="2">
        <v>316505787.76700002</v>
      </c>
      <c r="D154" s="2">
        <v>495551</v>
      </c>
      <c r="E154" s="2">
        <v>11378629170.6</v>
      </c>
      <c r="F154" s="2">
        <v>109.46</v>
      </c>
      <c r="G154" s="2">
        <v>2338772939</v>
      </c>
      <c r="H154" s="2">
        <v>19038.46875</v>
      </c>
      <c r="I154" s="2">
        <v>325.71143626000003</v>
      </c>
      <c r="J154" s="2" t="s">
        <v>2342</v>
      </c>
      <c r="K154" s="2">
        <v>0</v>
      </c>
      <c r="L154" s="2">
        <v>2.7629E-4</v>
      </c>
      <c r="M154" s="2">
        <v>2267410862090000</v>
      </c>
      <c r="N154" s="2">
        <v>209202</v>
      </c>
      <c r="O154" s="2">
        <v>98432753</v>
      </c>
      <c r="P154" s="2">
        <v>5925</v>
      </c>
    </row>
    <row r="155" spans="1:16" x14ac:dyDescent="0.25">
      <c r="A155" s="1">
        <v>43455</v>
      </c>
      <c r="B155" s="2">
        <v>616521541.09300005</v>
      </c>
      <c r="C155" s="2">
        <v>616521541.09300005</v>
      </c>
      <c r="D155" s="2">
        <v>606526</v>
      </c>
      <c r="E155" s="2">
        <v>12039275075.700001</v>
      </c>
      <c r="F155" s="2">
        <v>115.84</v>
      </c>
      <c r="G155" s="2">
        <v>2632539990</v>
      </c>
      <c r="H155" s="2">
        <v>18829.59375</v>
      </c>
      <c r="I155" s="2">
        <v>425.336553595</v>
      </c>
      <c r="J155" s="2" t="s">
        <v>2343</v>
      </c>
      <c r="K155" s="2">
        <v>0</v>
      </c>
      <c r="L155" s="2">
        <v>3.3599999999999998E-4</v>
      </c>
      <c r="M155" s="2">
        <v>2263365004350000</v>
      </c>
      <c r="N155" s="2">
        <v>251173</v>
      </c>
      <c r="O155" s="2">
        <v>114766451</v>
      </c>
      <c r="P155" s="2">
        <v>5837</v>
      </c>
    </row>
    <row r="156" spans="1:16" x14ac:dyDescent="0.25">
      <c r="A156" s="1">
        <v>43454</v>
      </c>
      <c r="B156" s="2">
        <v>551725934.94000006</v>
      </c>
      <c r="C156" s="2">
        <v>551725934.94000006</v>
      </c>
      <c r="D156" s="2">
        <v>602429</v>
      </c>
      <c r="E156" s="2">
        <v>10504482928.9</v>
      </c>
      <c r="F156" s="2">
        <v>101.09</v>
      </c>
      <c r="G156" s="2">
        <v>3063842618</v>
      </c>
      <c r="H156" s="2">
        <v>18806.4375</v>
      </c>
      <c r="I156" s="2">
        <v>445.506843823</v>
      </c>
      <c r="J156" s="2" t="s">
        <v>2344</v>
      </c>
      <c r="K156" s="2">
        <v>0</v>
      </c>
      <c r="L156" s="2">
        <v>3.3829500000000001E-4</v>
      </c>
      <c r="M156" s="2">
        <v>2241346879020000</v>
      </c>
      <c r="N156" s="2">
        <v>258282</v>
      </c>
      <c r="O156" s="2">
        <v>114650771</v>
      </c>
      <c r="P156" s="2">
        <v>5853</v>
      </c>
    </row>
    <row r="157" spans="1:16" x14ac:dyDescent="0.25">
      <c r="A157" s="1">
        <v>43453</v>
      </c>
      <c r="B157" s="2">
        <v>518636856.634</v>
      </c>
      <c r="C157" s="2">
        <v>518636856.634</v>
      </c>
      <c r="D157" s="2">
        <v>597824</v>
      </c>
      <c r="E157" s="2">
        <v>10564013308.9</v>
      </c>
      <c r="F157" s="2">
        <v>101.68</v>
      </c>
      <c r="G157" s="2">
        <v>2456482115</v>
      </c>
      <c r="H157" s="2">
        <v>18796.125</v>
      </c>
      <c r="I157" s="2">
        <v>449.879208549</v>
      </c>
      <c r="J157" s="2" t="s">
        <v>2345</v>
      </c>
      <c r="K157" s="2">
        <v>0</v>
      </c>
      <c r="L157" s="2">
        <v>3.33963E-4</v>
      </c>
      <c r="M157" s="2">
        <v>2254504732010000</v>
      </c>
      <c r="N157" s="2">
        <v>260509</v>
      </c>
      <c r="O157" s="2">
        <v>114808136</v>
      </c>
      <c r="P157" s="2">
        <v>5849</v>
      </c>
    </row>
    <row r="158" spans="1:16" x14ac:dyDescent="0.25">
      <c r="A158" s="1">
        <v>43452</v>
      </c>
      <c r="B158" s="2">
        <v>367292721.36699998</v>
      </c>
      <c r="C158" s="2">
        <v>367292721.36699998</v>
      </c>
      <c r="D158" s="2">
        <v>556320</v>
      </c>
      <c r="E158" s="2">
        <v>9880016404.7800007</v>
      </c>
      <c r="F158" s="2">
        <v>95.11</v>
      </c>
      <c r="G158" s="2">
        <v>2277514076</v>
      </c>
      <c r="H158" s="2">
        <v>18868.59375</v>
      </c>
      <c r="I158" s="2">
        <v>662.09273476199996</v>
      </c>
      <c r="J158" s="2" t="s">
        <v>2346</v>
      </c>
      <c r="K158" s="2">
        <v>0</v>
      </c>
      <c r="L158" s="2">
        <v>3.3074999999999999E-4</v>
      </c>
      <c r="M158" s="2">
        <v>2219953418650000</v>
      </c>
      <c r="N158" s="2">
        <v>234419</v>
      </c>
      <c r="O158" s="2">
        <v>115295662</v>
      </c>
      <c r="P158" s="2">
        <v>5861</v>
      </c>
    </row>
    <row r="159" spans="1:16" x14ac:dyDescent="0.25">
      <c r="A159" s="1">
        <v>43451</v>
      </c>
      <c r="B159" s="2">
        <v>335183148.07800001</v>
      </c>
      <c r="C159" s="2">
        <v>335183148.07800001</v>
      </c>
      <c r="D159" s="2">
        <v>570051</v>
      </c>
      <c r="E159" s="2">
        <v>8867795161.2099991</v>
      </c>
      <c r="F159" s="2">
        <v>85.38</v>
      </c>
      <c r="G159" s="2">
        <v>2101453024</v>
      </c>
      <c r="H159" s="2">
        <v>19065.5625</v>
      </c>
      <c r="I159" s="2">
        <v>392.57394179400001</v>
      </c>
      <c r="J159" s="2" t="s">
        <v>2347</v>
      </c>
      <c r="K159" s="2">
        <v>0</v>
      </c>
      <c r="L159" s="2">
        <v>2.7619549999999997E-4</v>
      </c>
      <c r="M159" s="2">
        <v>2241415641430000</v>
      </c>
      <c r="N159" s="2">
        <v>240809</v>
      </c>
      <c r="O159" s="2">
        <v>111274382</v>
      </c>
      <c r="P159" s="2">
        <v>5891</v>
      </c>
    </row>
    <row r="160" spans="1:16" x14ac:dyDescent="0.25">
      <c r="A160" s="1">
        <v>43450</v>
      </c>
      <c r="B160" s="2">
        <v>163741267.461</v>
      </c>
      <c r="C160" s="2">
        <v>163741267.461</v>
      </c>
      <c r="D160" s="2">
        <v>516697</v>
      </c>
      <c r="E160" s="2">
        <v>8771532145.9099998</v>
      </c>
      <c r="F160" s="2">
        <v>84.47</v>
      </c>
      <c r="G160" s="2">
        <v>1565817037</v>
      </c>
      <c r="H160" s="2">
        <v>19526.25</v>
      </c>
      <c r="I160" s="2">
        <v>308.82491055899999</v>
      </c>
      <c r="J160" s="2" t="s">
        <v>2348</v>
      </c>
      <c r="K160" s="2">
        <v>1.9111312158999999E-2</v>
      </c>
      <c r="L160" s="2">
        <v>1.75967000079E-4</v>
      </c>
      <c r="M160" s="2">
        <v>2222616642200000</v>
      </c>
      <c r="N160" s="2">
        <v>235766</v>
      </c>
      <c r="O160" s="2">
        <v>95892838</v>
      </c>
      <c r="P160" s="2">
        <v>6039</v>
      </c>
    </row>
    <row r="161" spans="1:16" x14ac:dyDescent="0.25">
      <c r="A161" s="1">
        <v>43449</v>
      </c>
      <c r="B161" s="2">
        <v>169586257.54699999</v>
      </c>
      <c r="C161" s="2">
        <v>169586257.54699999</v>
      </c>
      <c r="D161" s="2">
        <v>551916</v>
      </c>
      <c r="E161" s="2">
        <v>8750026777.4799995</v>
      </c>
      <c r="F161" s="2">
        <v>84.28</v>
      </c>
      <c r="G161" s="2">
        <v>1496176898</v>
      </c>
      <c r="H161" s="2">
        <v>19813.78125</v>
      </c>
      <c r="I161" s="2">
        <v>338.95637803800003</v>
      </c>
      <c r="J161" s="2" t="s">
        <v>2349</v>
      </c>
      <c r="K161" s="2">
        <v>0</v>
      </c>
      <c r="L161" s="2">
        <v>2.4526000000000002E-4</v>
      </c>
      <c r="M161" s="2">
        <v>2222301523650000</v>
      </c>
      <c r="N161" s="2">
        <v>237481</v>
      </c>
      <c r="O161" s="2">
        <v>102710251</v>
      </c>
      <c r="P161" s="2">
        <v>6115</v>
      </c>
    </row>
    <row r="162" spans="1:16" x14ac:dyDescent="0.25">
      <c r="A162" s="1">
        <v>43448</v>
      </c>
      <c r="B162" s="2">
        <v>267778879.919</v>
      </c>
      <c r="C162" s="2">
        <v>267778879.919</v>
      </c>
      <c r="D162" s="2">
        <v>567306</v>
      </c>
      <c r="E162" s="2">
        <v>8992020918.7900009</v>
      </c>
      <c r="F162" s="2">
        <v>86.63</v>
      </c>
      <c r="G162" s="2">
        <v>1651491877</v>
      </c>
      <c r="H162" s="2">
        <v>19412.71875</v>
      </c>
      <c r="I162" s="2">
        <v>588.27785972599997</v>
      </c>
      <c r="J162" s="2" t="s">
        <v>2350</v>
      </c>
      <c r="K162" s="2">
        <v>0</v>
      </c>
      <c r="L162" s="2">
        <v>3.0945000000000001E-4</v>
      </c>
      <c r="M162" s="2">
        <v>2216544178960000</v>
      </c>
      <c r="N162" s="2">
        <v>239190</v>
      </c>
      <c r="O162" s="2">
        <v>112312451</v>
      </c>
      <c r="P162" s="2">
        <v>6014</v>
      </c>
    </row>
    <row r="163" spans="1:16" x14ac:dyDescent="0.25">
      <c r="A163" s="1">
        <v>43447</v>
      </c>
      <c r="B163" s="2">
        <v>295859061.21399999</v>
      </c>
      <c r="C163" s="2">
        <v>295859061.21399999</v>
      </c>
      <c r="D163" s="2">
        <v>565689</v>
      </c>
      <c r="E163" s="2">
        <v>9408681540.4300003</v>
      </c>
      <c r="F163" s="2">
        <v>90.66</v>
      </c>
      <c r="G163" s="2">
        <v>1754475622</v>
      </c>
      <c r="H163" s="2">
        <v>19764.375</v>
      </c>
      <c r="I163" s="2">
        <v>437.24703729300001</v>
      </c>
      <c r="J163" s="2" t="s">
        <v>2351</v>
      </c>
      <c r="K163" s="2">
        <v>0</v>
      </c>
      <c r="L163" s="2">
        <v>3.6561999999999999E-4</v>
      </c>
      <c r="M163" s="2">
        <v>2219036998830000</v>
      </c>
      <c r="N163" s="2">
        <v>231766</v>
      </c>
      <c r="O163" s="2">
        <v>107558969</v>
      </c>
      <c r="P163" s="2">
        <v>6097</v>
      </c>
    </row>
    <row r="164" spans="1:16" x14ac:dyDescent="0.25">
      <c r="A164" s="1">
        <v>43446</v>
      </c>
      <c r="B164" s="2">
        <v>239835014.68700001</v>
      </c>
      <c r="C164" s="2">
        <v>239835014.68700001</v>
      </c>
      <c r="D164" s="2">
        <v>533920</v>
      </c>
      <c r="E164" s="2">
        <v>9194589923.2099991</v>
      </c>
      <c r="F164" s="2">
        <v>88.61</v>
      </c>
      <c r="G164" s="2">
        <v>1533050103</v>
      </c>
      <c r="H164" s="2">
        <v>19606.3125</v>
      </c>
      <c r="I164" s="2">
        <v>368.94591981299999</v>
      </c>
      <c r="J164" s="2" t="s">
        <v>2352</v>
      </c>
      <c r="K164" s="2">
        <v>0</v>
      </c>
      <c r="L164" s="2">
        <v>2.6206500000000002E-4</v>
      </c>
      <c r="M164" s="2">
        <v>2258098227400000</v>
      </c>
      <c r="N164" s="2">
        <v>220429</v>
      </c>
      <c r="O164" s="2">
        <v>101319325</v>
      </c>
      <c r="P164" s="2">
        <v>6076</v>
      </c>
    </row>
    <row r="165" spans="1:16" x14ac:dyDescent="0.25">
      <c r="A165" s="1">
        <v>43445</v>
      </c>
      <c r="B165" s="2">
        <v>265229402.87799999</v>
      </c>
      <c r="C165" s="2">
        <v>265229402.87799999</v>
      </c>
      <c r="D165" s="2">
        <v>536006</v>
      </c>
      <c r="E165" s="2">
        <v>9500126266.8999996</v>
      </c>
      <c r="F165" s="2">
        <v>91.58</v>
      </c>
      <c r="G165" s="2">
        <v>1707497898</v>
      </c>
      <c r="H165" s="2">
        <v>19359.5625</v>
      </c>
      <c r="I165" s="2">
        <v>384.96480811399999</v>
      </c>
      <c r="J165" s="2" t="s">
        <v>2353</v>
      </c>
      <c r="K165" s="2">
        <v>0</v>
      </c>
      <c r="L165" s="2">
        <v>2.6557250000000001E-4</v>
      </c>
      <c r="M165" s="2">
        <v>2350544392250000</v>
      </c>
      <c r="N165" s="2">
        <v>220885</v>
      </c>
      <c r="O165" s="2">
        <v>106055929</v>
      </c>
      <c r="P165" s="2">
        <v>5984</v>
      </c>
    </row>
    <row r="166" spans="1:16" x14ac:dyDescent="0.25">
      <c r="A166" s="1">
        <v>43444</v>
      </c>
      <c r="B166" s="2">
        <v>262848224.294</v>
      </c>
      <c r="C166" s="2">
        <v>262848224.294</v>
      </c>
      <c r="D166" s="2">
        <v>555379</v>
      </c>
      <c r="E166" s="2">
        <v>9852082580.0200005</v>
      </c>
      <c r="F166" s="2">
        <v>94.99</v>
      </c>
      <c r="G166" s="2">
        <v>1756437577</v>
      </c>
      <c r="H166" s="2">
        <v>20028.09375</v>
      </c>
      <c r="I166" s="2">
        <v>403.89204347399999</v>
      </c>
      <c r="J166" s="2" t="s">
        <v>2354</v>
      </c>
      <c r="K166" s="2">
        <v>2.8591990000000001E-2</v>
      </c>
      <c r="L166" s="2">
        <v>2.4659414999999999E-4</v>
      </c>
      <c r="M166" s="2">
        <v>2359598295440000</v>
      </c>
      <c r="N166" s="2">
        <v>253921</v>
      </c>
      <c r="O166" s="2">
        <v>112379796</v>
      </c>
      <c r="P166" s="2">
        <v>6176</v>
      </c>
    </row>
    <row r="167" spans="1:16" x14ac:dyDescent="0.25">
      <c r="A167" s="1">
        <v>43443</v>
      </c>
      <c r="B167" s="2">
        <v>245704186.90000001</v>
      </c>
      <c r="C167" s="2">
        <v>245704186.90000001</v>
      </c>
      <c r="D167" s="2">
        <v>507555</v>
      </c>
      <c r="E167" s="2">
        <v>9544931805.0599995</v>
      </c>
      <c r="F167" s="2">
        <v>92.04</v>
      </c>
      <c r="G167" s="2">
        <v>1875567180</v>
      </c>
      <c r="H167" s="2">
        <v>19577.25</v>
      </c>
      <c r="I167" s="2">
        <v>340.65419626099998</v>
      </c>
      <c r="J167" s="2" t="s">
        <v>2355</v>
      </c>
      <c r="K167" s="2">
        <v>1.8408000000000001E-2</v>
      </c>
      <c r="L167" s="2">
        <v>2.0777600000000001E-4</v>
      </c>
      <c r="M167" s="2">
        <v>2289042591110000</v>
      </c>
      <c r="N167" s="2">
        <v>226918</v>
      </c>
      <c r="O167" s="2">
        <v>102889275</v>
      </c>
      <c r="P167" s="2">
        <v>6097</v>
      </c>
    </row>
    <row r="168" spans="1:16" x14ac:dyDescent="0.25">
      <c r="A168" s="1">
        <v>43442</v>
      </c>
      <c r="B168" s="2">
        <v>295828404.352</v>
      </c>
      <c r="C168" s="2">
        <v>295828404.352</v>
      </c>
      <c r="D168" s="2">
        <v>552651</v>
      </c>
      <c r="E168" s="2">
        <v>9684930375.8199997</v>
      </c>
      <c r="F168" s="2">
        <v>93.41</v>
      </c>
      <c r="G168" s="2">
        <v>1855759401</v>
      </c>
      <c r="H168" s="2">
        <v>19539.75</v>
      </c>
      <c r="I168" s="2">
        <v>351.11762940800003</v>
      </c>
      <c r="J168" s="2" t="s">
        <v>2356</v>
      </c>
      <c r="K168" s="2">
        <v>4.6705000000000003E-2</v>
      </c>
      <c r="L168" s="2">
        <v>2.1620999999999999E-4</v>
      </c>
      <c r="M168" s="2">
        <v>2309158760150000</v>
      </c>
      <c r="N168" s="2">
        <v>255773</v>
      </c>
      <c r="O168" s="2">
        <v>104327823</v>
      </c>
      <c r="P168" s="2">
        <v>6023</v>
      </c>
    </row>
    <row r="169" spans="1:16" x14ac:dyDescent="0.25">
      <c r="A169" s="1">
        <v>43441</v>
      </c>
      <c r="B169" s="2">
        <v>545702024.83000004</v>
      </c>
      <c r="C169" s="2">
        <v>545702024.83000004</v>
      </c>
      <c r="D169" s="2">
        <v>572417</v>
      </c>
      <c r="E169" s="2">
        <v>9501162087.9500008</v>
      </c>
      <c r="F169" s="2">
        <v>91.65</v>
      </c>
      <c r="G169" s="2">
        <v>2554304530</v>
      </c>
      <c r="H169" s="2">
        <v>19490.8125</v>
      </c>
      <c r="I169" s="2">
        <v>491.70594669799999</v>
      </c>
      <c r="J169" s="2" t="s">
        <v>2357</v>
      </c>
      <c r="K169" s="2">
        <v>9.1649999999999995E-2</v>
      </c>
      <c r="L169" s="2">
        <v>3.7281E-4</v>
      </c>
      <c r="M169" s="2">
        <v>2360514415850000</v>
      </c>
      <c r="N169" s="2">
        <v>263944</v>
      </c>
      <c r="O169" s="2">
        <v>109905493</v>
      </c>
      <c r="P169" s="2">
        <v>5972</v>
      </c>
    </row>
    <row r="170" spans="1:16" x14ac:dyDescent="0.25">
      <c r="A170" s="1">
        <v>43440</v>
      </c>
      <c r="B170" s="2">
        <v>470904577.80900002</v>
      </c>
      <c r="C170" s="2">
        <v>470904577.80900002</v>
      </c>
      <c r="D170" s="2">
        <v>590923</v>
      </c>
      <c r="E170" s="2">
        <v>10618376543</v>
      </c>
      <c r="F170" s="2">
        <v>102.45</v>
      </c>
      <c r="G170" s="2">
        <v>2310716932</v>
      </c>
      <c r="H170" s="2">
        <v>19742.25</v>
      </c>
      <c r="I170" s="2">
        <v>504.21976821999999</v>
      </c>
      <c r="J170" s="2" t="s">
        <v>2358</v>
      </c>
      <c r="K170" s="2">
        <v>0</v>
      </c>
      <c r="L170" s="2">
        <v>3.947E-4</v>
      </c>
      <c r="M170" s="2">
        <v>2443511423460000</v>
      </c>
      <c r="N170" s="2">
        <v>245179</v>
      </c>
      <c r="O170" s="2">
        <v>116060115</v>
      </c>
      <c r="P170" s="2">
        <v>6056</v>
      </c>
    </row>
    <row r="171" spans="1:16" x14ac:dyDescent="0.25">
      <c r="A171" s="1">
        <v>43439</v>
      </c>
      <c r="B171" s="2">
        <v>363016280.43599999</v>
      </c>
      <c r="C171" s="2">
        <v>363016280.43599999</v>
      </c>
      <c r="D171" s="2">
        <v>595937</v>
      </c>
      <c r="E171" s="2">
        <v>11433330127.700001</v>
      </c>
      <c r="F171" s="2">
        <v>110.34</v>
      </c>
      <c r="G171" s="2">
        <v>1990157607</v>
      </c>
      <c r="H171" s="2">
        <v>19708.3125</v>
      </c>
      <c r="I171" s="2">
        <v>651.568035968</v>
      </c>
      <c r="J171" s="2" t="s">
        <v>2359</v>
      </c>
      <c r="K171" s="2">
        <v>0</v>
      </c>
      <c r="L171" s="2">
        <v>4.0283099999999998E-4</v>
      </c>
      <c r="M171" s="2">
        <v>2399104010080000</v>
      </c>
      <c r="N171" s="2">
        <v>240534</v>
      </c>
      <c r="O171" s="2">
        <v>114099860</v>
      </c>
      <c r="P171" s="2">
        <v>6017</v>
      </c>
    </row>
    <row r="172" spans="1:16" x14ac:dyDescent="0.25">
      <c r="A172" s="1">
        <v>43438</v>
      </c>
      <c r="B172" s="2">
        <v>278003039.91799998</v>
      </c>
      <c r="C172" s="2">
        <v>278003039.91799998</v>
      </c>
      <c r="D172" s="2">
        <v>565202</v>
      </c>
      <c r="E172" s="2">
        <v>11272530046.799999</v>
      </c>
      <c r="F172" s="2">
        <v>108.8</v>
      </c>
      <c r="G172" s="2">
        <v>1748116495</v>
      </c>
      <c r="H172" s="2">
        <v>19660.5</v>
      </c>
      <c r="I172" s="2">
        <v>608.99568758299995</v>
      </c>
      <c r="J172" s="2" t="s">
        <v>2360</v>
      </c>
      <c r="K172" s="2">
        <v>0</v>
      </c>
      <c r="L172" s="2">
        <v>3.7243999999999998E-4</v>
      </c>
      <c r="M172" s="2">
        <v>2466816920210000</v>
      </c>
      <c r="N172" s="2">
        <v>228994</v>
      </c>
      <c r="O172" s="2">
        <v>108534206</v>
      </c>
      <c r="P172" s="2">
        <v>6039</v>
      </c>
    </row>
    <row r="173" spans="1:16" x14ac:dyDescent="0.25">
      <c r="A173" s="1">
        <v>43437</v>
      </c>
      <c r="B173" s="2">
        <v>305036945.384</v>
      </c>
      <c r="C173" s="2">
        <v>305036945.384</v>
      </c>
      <c r="D173" s="2">
        <v>548100</v>
      </c>
      <c r="E173" s="2">
        <v>12054578437.5</v>
      </c>
      <c r="F173" s="2">
        <v>116.38</v>
      </c>
      <c r="G173" s="2">
        <v>1772756193</v>
      </c>
      <c r="H173" s="2">
        <v>19598.25</v>
      </c>
      <c r="I173" s="2">
        <v>599.64506525700006</v>
      </c>
      <c r="J173" s="2" t="s">
        <v>2361</v>
      </c>
      <c r="K173" s="2">
        <v>3.2004499999999998E-2</v>
      </c>
      <c r="L173" s="2">
        <v>3.7800000000000003E-4</v>
      </c>
      <c r="M173" s="2">
        <v>2421792604190000</v>
      </c>
      <c r="N173" s="2">
        <v>233592</v>
      </c>
      <c r="O173" s="2">
        <v>108728366</v>
      </c>
      <c r="P173" s="2">
        <v>6033</v>
      </c>
    </row>
    <row r="174" spans="1:16" x14ac:dyDescent="0.25">
      <c r="A174" s="1">
        <v>43436</v>
      </c>
      <c r="B174" s="2">
        <v>186059895.61300001</v>
      </c>
      <c r="C174" s="2">
        <v>186059895.61300001</v>
      </c>
      <c r="D174" s="2">
        <v>492410</v>
      </c>
      <c r="E174" s="2">
        <v>12248470104.799999</v>
      </c>
      <c r="F174" s="2">
        <v>118.27</v>
      </c>
      <c r="G174" s="2">
        <v>1856199149</v>
      </c>
      <c r="H174" s="2">
        <v>19630.21875</v>
      </c>
      <c r="I174" s="2">
        <v>514.38921077999998</v>
      </c>
      <c r="J174" s="2" t="s">
        <v>2362</v>
      </c>
      <c r="K174" s="2">
        <v>0</v>
      </c>
      <c r="L174" s="2">
        <v>3.4245E-4</v>
      </c>
      <c r="M174" s="2">
        <v>2425443086730000</v>
      </c>
      <c r="N174" s="2">
        <v>208283</v>
      </c>
      <c r="O174" s="2">
        <v>92625715</v>
      </c>
      <c r="P174" s="2">
        <v>6061</v>
      </c>
    </row>
    <row r="175" spans="1:16" x14ac:dyDescent="0.25">
      <c r="A175" s="1">
        <v>43435</v>
      </c>
      <c r="B175" s="2">
        <v>1776947337.6199999</v>
      </c>
      <c r="C175" s="2">
        <v>1776947337.6199999</v>
      </c>
      <c r="D175" s="2">
        <v>525757</v>
      </c>
      <c r="E175" s="2">
        <v>11741562095.4</v>
      </c>
      <c r="F175" s="2">
        <v>113.4</v>
      </c>
      <c r="G175" s="2">
        <v>2131475768</v>
      </c>
      <c r="H175" s="2">
        <v>19763.0625</v>
      </c>
      <c r="I175" s="2">
        <v>585.91840212800003</v>
      </c>
      <c r="J175" s="2" t="s">
        <v>2363</v>
      </c>
      <c r="K175" s="2">
        <v>0</v>
      </c>
      <c r="L175" s="2">
        <v>3.814871E-4</v>
      </c>
      <c r="M175" s="2">
        <v>2512706229100000</v>
      </c>
      <c r="N175" s="2">
        <v>213308</v>
      </c>
      <c r="O175" s="2">
        <v>98505306</v>
      </c>
      <c r="P175" s="2">
        <v>6057</v>
      </c>
    </row>
    <row r="176" spans="1:16" x14ac:dyDescent="0.25">
      <c r="A176" s="1">
        <v>43434</v>
      </c>
      <c r="B176" s="2">
        <v>2074488777.4200001</v>
      </c>
      <c r="C176" s="2">
        <v>2074488777.4200001</v>
      </c>
      <c r="D176" s="2">
        <v>599039</v>
      </c>
      <c r="E176" s="2">
        <v>12188176999.4</v>
      </c>
      <c r="F176" s="2">
        <v>117.73</v>
      </c>
      <c r="G176" s="2">
        <v>2020748396</v>
      </c>
      <c r="H176" s="2">
        <v>19921.78125</v>
      </c>
      <c r="I176" s="2">
        <v>889.63267848700002</v>
      </c>
      <c r="J176" s="2" t="s">
        <v>2364</v>
      </c>
      <c r="K176" s="2">
        <v>0.11773</v>
      </c>
      <c r="L176" s="2">
        <v>5.9601999999999995E-4</v>
      </c>
      <c r="M176" s="2">
        <v>2425633227350000</v>
      </c>
      <c r="N176" s="2">
        <v>239961</v>
      </c>
      <c r="O176" s="2">
        <v>112708956</v>
      </c>
      <c r="P176" s="2">
        <v>6046</v>
      </c>
    </row>
    <row r="177" spans="1:16" x14ac:dyDescent="0.25">
      <c r="A177" s="1">
        <v>43433</v>
      </c>
      <c r="B177" s="2">
        <v>493395809.95700002</v>
      </c>
      <c r="C177" s="2">
        <v>493395809.95700002</v>
      </c>
      <c r="D177" s="2">
        <v>555591</v>
      </c>
      <c r="E177" s="2">
        <v>12702455113</v>
      </c>
      <c r="F177" s="2">
        <v>122.72</v>
      </c>
      <c r="G177" s="2">
        <v>2196099151</v>
      </c>
      <c r="H177" s="2">
        <v>20100</v>
      </c>
      <c r="I177" s="2">
        <v>736.85742086599998</v>
      </c>
      <c r="J177" s="2" t="s">
        <v>2365</v>
      </c>
      <c r="K177" s="2">
        <v>0</v>
      </c>
      <c r="L177" s="2">
        <v>4.2000000000000002E-4</v>
      </c>
      <c r="M177" s="2">
        <v>2419083794820000</v>
      </c>
      <c r="N177" s="2">
        <v>235499</v>
      </c>
      <c r="O177" s="2">
        <v>109042091</v>
      </c>
      <c r="P177" s="2">
        <v>6121</v>
      </c>
    </row>
    <row r="178" spans="1:16" x14ac:dyDescent="0.25">
      <c r="A178" s="1">
        <v>43432</v>
      </c>
      <c r="B178" s="2">
        <v>427791716.88999999</v>
      </c>
      <c r="C178" s="2">
        <v>427791716.88999999</v>
      </c>
      <c r="D178" s="2">
        <v>622580</v>
      </c>
      <c r="E178" s="2">
        <v>11403855940.200001</v>
      </c>
      <c r="F178" s="2">
        <v>110.2</v>
      </c>
      <c r="G178" s="2">
        <v>2673470000</v>
      </c>
      <c r="H178" s="2">
        <v>19893.28125</v>
      </c>
      <c r="I178" s="2">
        <v>644.561057785</v>
      </c>
      <c r="J178" s="2" t="s">
        <v>2366</v>
      </c>
      <c r="K178" s="2">
        <v>0</v>
      </c>
      <c r="L178" s="2">
        <v>3.458515E-4</v>
      </c>
      <c r="M178" s="2">
        <v>2399785635670000</v>
      </c>
      <c r="N178" s="2">
        <v>260278</v>
      </c>
      <c r="O178" s="2">
        <v>119897986</v>
      </c>
      <c r="P178" s="2">
        <v>6026</v>
      </c>
    </row>
    <row r="179" spans="1:16" x14ac:dyDescent="0.25">
      <c r="A179" s="1">
        <v>43431</v>
      </c>
      <c r="B179" s="2">
        <v>364547043.45300001</v>
      </c>
      <c r="C179" s="2">
        <v>364547043.45300001</v>
      </c>
      <c r="D179" s="2">
        <v>565825</v>
      </c>
      <c r="E179" s="2">
        <v>11164939659.799999</v>
      </c>
      <c r="F179" s="2">
        <v>107.91</v>
      </c>
      <c r="G179" s="2">
        <v>2320010000</v>
      </c>
      <c r="H179" s="2">
        <v>19749.375</v>
      </c>
      <c r="I179" s="2">
        <v>484.29711608899999</v>
      </c>
      <c r="J179" s="2" t="s">
        <v>2367</v>
      </c>
      <c r="K179" s="2">
        <v>0</v>
      </c>
      <c r="L179" s="2">
        <v>2.7588999999999999E-4</v>
      </c>
      <c r="M179" s="2">
        <v>2516274193300000</v>
      </c>
      <c r="N179" s="2">
        <v>238447</v>
      </c>
      <c r="O179" s="2">
        <v>107362807</v>
      </c>
      <c r="P179" s="2">
        <v>5995</v>
      </c>
    </row>
    <row r="180" spans="1:16" x14ac:dyDescent="0.25">
      <c r="A180" s="1">
        <v>43430</v>
      </c>
      <c r="B180" s="2">
        <v>457056386.19599998</v>
      </c>
      <c r="C180" s="2">
        <v>457056386.19599998</v>
      </c>
      <c r="D180" s="2">
        <v>557388</v>
      </c>
      <c r="E180" s="2">
        <v>12035412540.4</v>
      </c>
      <c r="F180" s="2">
        <v>116.34</v>
      </c>
      <c r="G180" s="2">
        <v>2139490000</v>
      </c>
      <c r="H180" s="2">
        <v>20047.03125</v>
      </c>
      <c r="I180" s="2">
        <v>520.84283679800001</v>
      </c>
      <c r="J180" s="2" t="s">
        <v>2368</v>
      </c>
      <c r="K180" s="2">
        <v>6.9804000000000003E-3</v>
      </c>
      <c r="L180" s="2">
        <v>3.1885799999999999E-4</v>
      </c>
      <c r="M180" s="2">
        <v>2694691428730000</v>
      </c>
      <c r="N180" s="2">
        <v>237836</v>
      </c>
      <c r="O180" s="2">
        <v>104756173</v>
      </c>
      <c r="P180" s="2">
        <v>6071</v>
      </c>
    </row>
    <row r="181" spans="1:16" x14ac:dyDescent="0.25">
      <c r="A181" s="1">
        <v>43429</v>
      </c>
      <c r="B181" s="2">
        <v>522925438.71700001</v>
      </c>
      <c r="C181" s="2">
        <v>522925438.71700001</v>
      </c>
      <c r="D181" s="2">
        <v>529038</v>
      </c>
      <c r="E181" s="2">
        <v>11700527896.299999</v>
      </c>
      <c r="F181" s="2">
        <v>113.13</v>
      </c>
      <c r="G181" s="2">
        <v>2466750000</v>
      </c>
      <c r="H181" s="2">
        <v>20018.71875</v>
      </c>
      <c r="I181" s="2">
        <v>529.53309368299995</v>
      </c>
      <c r="J181" s="2" t="s">
        <v>2369</v>
      </c>
      <c r="K181" s="2">
        <v>6.1090199999999997E-2</v>
      </c>
      <c r="L181" s="2">
        <v>3.5628150000000002E-4</v>
      </c>
      <c r="M181" s="2">
        <v>2707010252060000</v>
      </c>
      <c r="N181" s="2">
        <v>235352</v>
      </c>
      <c r="O181" s="2">
        <v>101613651</v>
      </c>
      <c r="P181" s="2">
        <v>6154</v>
      </c>
    </row>
    <row r="182" spans="1:16" x14ac:dyDescent="0.25">
      <c r="A182" s="1">
        <v>43428</v>
      </c>
      <c r="B182" s="2">
        <v>327922583.13300002</v>
      </c>
      <c r="C182" s="2">
        <v>327922583.13300002</v>
      </c>
      <c r="D182" s="2">
        <v>497091</v>
      </c>
      <c r="E182" s="2">
        <v>12750345332.799999</v>
      </c>
      <c r="F182" s="2">
        <v>123.3</v>
      </c>
      <c r="G182" s="2">
        <v>1800960000</v>
      </c>
      <c r="H182" s="2">
        <v>20006.25</v>
      </c>
      <c r="I182" s="2">
        <v>460.69568448899997</v>
      </c>
      <c r="J182" s="2" t="s">
        <v>2370</v>
      </c>
      <c r="K182" s="2">
        <v>0</v>
      </c>
      <c r="L182" s="2">
        <v>2.6347499999999999E-4</v>
      </c>
      <c r="M182" s="2">
        <v>2757046779590000</v>
      </c>
      <c r="N182" s="2">
        <v>207012</v>
      </c>
      <c r="O182" s="2">
        <v>95569180</v>
      </c>
      <c r="P182" s="2">
        <v>6119</v>
      </c>
    </row>
    <row r="183" spans="1:16" x14ac:dyDescent="0.25">
      <c r="A183" s="1">
        <v>43427</v>
      </c>
      <c r="B183" s="2">
        <v>453021654.75</v>
      </c>
      <c r="C183" s="2">
        <v>453021654.75</v>
      </c>
      <c r="D183" s="2">
        <v>559992</v>
      </c>
      <c r="E183" s="2">
        <v>13069568659.299999</v>
      </c>
      <c r="F183" s="2">
        <v>126.42</v>
      </c>
      <c r="G183" s="2">
        <v>1998010000</v>
      </c>
      <c r="H183" s="2">
        <v>20121.375</v>
      </c>
      <c r="I183" s="2">
        <v>527.50460847299996</v>
      </c>
      <c r="J183" s="2" t="s">
        <v>2371</v>
      </c>
      <c r="K183" s="2">
        <v>0</v>
      </c>
      <c r="L183" s="2">
        <v>3.1538999999999997E-4</v>
      </c>
      <c r="M183" s="2">
        <v>2764589515420000</v>
      </c>
      <c r="N183" s="2">
        <v>239484</v>
      </c>
      <c r="O183" s="2">
        <v>108058211</v>
      </c>
      <c r="P183" s="2">
        <v>6119</v>
      </c>
    </row>
    <row r="184" spans="1:16" x14ac:dyDescent="0.25">
      <c r="A184" s="1">
        <v>43426</v>
      </c>
      <c r="B184" s="2">
        <v>396366784.63700002</v>
      </c>
      <c r="C184" s="2">
        <v>396366784.63700002</v>
      </c>
      <c r="D184" s="2">
        <v>568895</v>
      </c>
      <c r="E184" s="2">
        <v>14140966602.299999</v>
      </c>
      <c r="F184" s="2">
        <v>136.81</v>
      </c>
      <c r="G184" s="2">
        <v>1792150000</v>
      </c>
      <c r="H184" s="2">
        <v>19936.03125</v>
      </c>
      <c r="I184" s="2">
        <v>501.97061255900002</v>
      </c>
      <c r="J184" s="2" t="s">
        <v>2372</v>
      </c>
      <c r="K184" s="2">
        <v>0</v>
      </c>
      <c r="L184" s="2">
        <v>2.9685600000000002E-4</v>
      </c>
      <c r="M184" s="2">
        <v>2756727218810000</v>
      </c>
      <c r="N184" s="2">
        <v>234537</v>
      </c>
      <c r="O184" s="2">
        <v>107865091</v>
      </c>
      <c r="P184" s="2">
        <v>6063</v>
      </c>
    </row>
    <row r="185" spans="1:16" x14ac:dyDescent="0.25">
      <c r="A185" s="1">
        <v>43425</v>
      </c>
      <c r="B185" s="2">
        <v>565494326.23800004</v>
      </c>
      <c r="C185" s="2">
        <v>565494326.23800004</v>
      </c>
      <c r="D185" s="2">
        <v>579531</v>
      </c>
      <c r="E185" s="2">
        <v>13552816225.4</v>
      </c>
      <c r="F185" s="2">
        <v>131.13999999999999</v>
      </c>
      <c r="G185" s="2">
        <v>2685930000</v>
      </c>
      <c r="H185" s="2">
        <v>20226.9375</v>
      </c>
      <c r="I185" s="2">
        <v>526.89180963299998</v>
      </c>
      <c r="J185" s="2" t="s">
        <v>2373</v>
      </c>
      <c r="K185" s="2">
        <v>0</v>
      </c>
      <c r="L185" s="2">
        <v>3.1500000000000001E-4</v>
      </c>
      <c r="M185" s="2">
        <v>2789702882290000</v>
      </c>
      <c r="N185" s="2">
        <v>245982</v>
      </c>
      <c r="O185" s="2">
        <v>110156495</v>
      </c>
      <c r="P185" s="2">
        <v>6136</v>
      </c>
    </row>
    <row r="186" spans="1:16" x14ac:dyDescent="0.25">
      <c r="A186" s="1">
        <v>43424</v>
      </c>
      <c r="B186" s="2">
        <v>1015683928.5700001</v>
      </c>
      <c r="C186" s="2">
        <v>1015683928.5700001</v>
      </c>
      <c r="D186" s="2">
        <v>625752</v>
      </c>
      <c r="E186" s="2">
        <v>15375705040.6</v>
      </c>
      <c r="F186" s="2">
        <v>148.81</v>
      </c>
      <c r="G186" s="2">
        <v>3134410000</v>
      </c>
      <c r="H186" s="2">
        <v>20015.625</v>
      </c>
      <c r="I186" s="2">
        <v>650.57017544400003</v>
      </c>
      <c r="J186" s="2" t="s">
        <v>2374</v>
      </c>
      <c r="K186" s="2">
        <v>0.14732190000000001</v>
      </c>
      <c r="L186" s="2">
        <v>4.11708E-4</v>
      </c>
      <c r="M186" s="2">
        <v>2925334600720000</v>
      </c>
      <c r="N186" s="2">
        <v>284536</v>
      </c>
      <c r="O186" s="2">
        <v>119089570</v>
      </c>
      <c r="P186" s="2">
        <v>6028</v>
      </c>
    </row>
    <row r="187" spans="1:16" x14ac:dyDescent="0.25">
      <c r="A187" s="1">
        <v>43423</v>
      </c>
      <c r="B187" s="2">
        <v>990012964.84200001</v>
      </c>
      <c r="C187" s="2">
        <v>990012964.84200001</v>
      </c>
      <c r="D187" s="2">
        <v>622942</v>
      </c>
      <c r="E187" s="2">
        <v>18303000200.200001</v>
      </c>
      <c r="F187" s="2">
        <v>177.18</v>
      </c>
      <c r="G187" s="2">
        <v>2745160000</v>
      </c>
      <c r="H187" s="2">
        <v>19913.53125</v>
      </c>
      <c r="I187" s="2">
        <v>632.83565423100003</v>
      </c>
      <c r="J187" s="2" t="s">
        <v>2375</v>
      </c>
      <c r="K187" s="2">
        <v>1.08252515064</v>
      </c>
      <c r="L187" s="2">
        <v>3.4204500000000002E-4</v>
      </c>
      <c r="M187" s="2">
        <v>2996308598760000</v>
      </c>
      <c r="N187" s="2">
        <v>299988</v>
      </c>
      <c r="O187" s="2">
        <v>113991351</v>
      </c>
      <c r="P187" s="2">
        <v>5999</v>
      </c>
    </row>
    <row r="188" spans="1:16" x14ac:dyDescent="0.25">
      <c r="A188" s="1">
        <v>43422</v>
      </c>
      <c r="B188" s="2">
        <v>371614853.95200002</v>
      </c>
      <c r="C188" s="2">
        <v>371614853.95200002</v>
      </c>
      <c r="D188" s="2">
        <v>484801</v>
      </c>
      <c r="E188" s="2">
        <v>17989922625.900002</v>
      </c>
      <c r="F188" s="2">
        <v>174.18</v>
      </c>
      <c r="G188" s="2">
        <v>1810920000</v>
      </c>
      <c r="H188" s="2">
        <v>20209.21875</v>
      </c>
      <c r="I188" s="2">
        <v>459.69312817899998</v>
      </c>
      <c r="J188" s="2" t="s">
        <v>2376</v>
      </c>
      <c r="K188" s="2">
        <v>0</v>
      </c>
      <c r="L188" s="2">
        <v>2.5647300000000001E-4</v>
      </c>
      <c r="M188" s="2">
        <v>2991785921060000</v>
      </c>
      <c r="N188" s="2">
        <v>203222</v>
      </c>
      <c r="O188" s="2">
        <v>90417923</v>
      </c>
      <c r="P188" s="2">
        <v>6159</v>
      </c>
    </row>
    <row r="189" spans="1:16" x14ac:dyDescent="0.25">
      <c r="A189" s="1">
        <v>43421</v>
      </c>
      <c r="B189" s="2">
        <v>267010320.90900001</v>
      </c>
      <c r="C189" s="2">
        <v>267010320.90900001</v>
      </c>
      <c r="D189" s="2">
        <v>505581</v>
      </c>
      <c r="E189" s="2">
        <v>18108662988.200001</v>
      </c>
      <c r="F189" s="2">
        <v>175.36</v>
      </c>
      <c r="G189" s="2">
        <v>1832800000</v>
      </c>
      <c r="H189" s="2">
        <v>20020.40625</v>
      </c>
      <c r="I189" s="2">
        <v>408.434085837</v>
      </c>
      <c r="J189" s="2" t="s">
        <v>2377</v>
      </c>
      <c r="K189" s="2">
        <v>0</v>
      </c>
      <c r="L189" s="2">
        <v>2.52E-4</v>
      </c>
      <c r="M189" s="2">
        <v>3013972959090000</v>
      </c>
      <c r="N189" s="2">
        <v>214800</v>
      </c>
      <c r="O189" s="2">
        <v>94753394</v>
      </c>
      <c r="P189" s="2">
        <v>6112</v>
      </c>
    </row>
    <row r="190" spans="1:16" x14ac:dyDescent="0.25">
      <c r="A190" s="1">
        <v>43420</v>
      </c>
      <c r="B190" s="2">
        <v>461254602.22299999</v>
      </c>
      <c r="C190" s="2">
        <v>461254602.22299999</v>
      </c>
      <c r="D190" s="2">
        <v>552107</v>
      </c>
      <c r="E190" s="2">
        <v>18673610379.5</v>
      </c>
      <c r="F190" s="2">
        <v>180.87</v>
      </c>
      <c r="G190" s="2">
        <v>2015330000</v>
      </c>
      <c r="H190" s="2">
        <v>20278.875</v>
      </c>
      <c r="I190" s="2">
        <v>543.54324203900001</v>
      </c>
      <c r="J190" s="2" t="s">
        <v>2378</v>
      </c>
      <c r="K190" s="2">
        <v>0</v>
      </c>
      <c r="L190" s="2">
        <v>3.3446700000000002E-4</v>
      </c>
      <c r="M190" s="2">
        <v>3089011750720000</v>
      </c>
      <c r="N190" s="2">
        <v>239878</v>
      </c>
      <c r="O190" s="2">
        <v>105713694</v>
      </c>
      <c r="P190" s="2">
        <v>6182</v>
      </c>
    </row>
    <row r="191" spans="1:16" x14ac:dyDescent="0.25">
      <c r="A191" s="1">
        <v>43419</v>
      </c>
      <c r="B191" s="2">
        <v>662622877.37100005</v>
      </c>
      <c r="C191" s="2">
        <v>662622877.37100005</v>
      </c>
      <c r="D191" s="2">
        <v>563051</v>
      </c>
      <c r="E191" s="2">
        <v>18776172150.400002</v>
      </c>
      <c r="F191" s="2">
        <v>181.9</v>
      </c>
      <c r="G191" s="2">
        <v>2638410000</v>
      </c>
      <c r="H191" s="2">
        <v>20007.1875</v>
      </c>
      <c r="I191" s="2">
        <v>628.564345398</v>
      </c>
      <c r="J191" s="2" t="s">
        <v>2379</v>
      </c>
      <c r="K191" s="2">
        <v>0.58106135999999997</v>
      </c>
      <c r="L191" s="2">
        <v>4.2000000000000002E-4</v>
      </c>
      <c r="M191" s="2">
        <v>3069794606960000</v>
      </c>
      <c r="N191" s="2">
        <v>260726</v>
      </c>
      <c r="O191" s="2">
        <v>107165038</v>
      </c>
      <c r="P191" s="2">
        <v>6073</v>
      </c>
    </row>
    <row r="192" spans="1:16" x14ac:dyDescent="0.25">
      <c r="A192" s="1">
        <v>43418</v>
      </c>
      <c r="B192" s="2">
        <v>699575384.29700005</v>
      </c>
      <c r="C192" s="2">
        <v>699575384.29700005</v>
      </c>
      <c r="D192" s="2">
        <v>582181</v>
      </c>
      <c r="E192" s="2">
        <v>21314525337</v>
      </c>
      <c r="F192" s="2">
        <v>206.53</v>
      </c>
      <c r="G192" s="2">
        <v>2595330000</v>
      </c>
      <c r="H192" s="2">
        <v>20119.125</v>
      </c>
      <c r="I192" s="2">
        <v>578.04984178799998</v>
      </c>
      <c r="J192" s="2" t="s">
        <v>2380</v>
      </c>
      <c r="K192" s="2">
        <v>0.24430227169999999</v>
      </c>
      <c r="L192" s="2">
        <v>3.61968E-4</v>
      </c>
      <c r="M192" s="2">
        <v>3062799395860000</v>
      </c>
      <c r="N192" s="2">
        <v>266983</v>
      </c>
      <c r="O192" s="2">
        <v>114327476</v>
      </c>
      <c r="P192" s="2">
        <v>6071</v>
      </c>
    </row>
    <row r="193" spans="1:16" x14ac:dyDescent="0.25">
      <c r="A193" s="1">
        <v>43417</v>
      </c>
      <c r="B193" s="2">
        <v>402728561.63599998</v>
      </c>
      <c r="C193" s="2">
        <v>402728561.63599998</v>
      </c>
      <c r="D193" s="2">
        <v>553590</v>
      </c>
      <c r="E193" s="2">
        <v>21683828108.5</v>
      </c>
      <c r="F193" s="2">
        <v>210.15</v>
      </c>
      <c r="G193" s="2">
        <v>1610260000</v>
      </c>
      <c r="H193" s="2">
        <v>20272.3125</v>
      </c>
      <c r="I193" s="2">
        <v>477.61724593500003</v>
      </c>
      <c r="J193" s="2" t="s">
        <v>2381</v>
      </c>
      <c r="K193" s="2">
        <v>2.3116500000000002E-2</v>
      </c>
      <c r="L193" s="2">
        <v>2.6069999999999999E-4</v>
      </c>
      <c r="M193" s="2">
        <v>3032519178180000</v>
      </c>
      <c r="N193" s="2">
        <v>243153</v>
      </c>
      <c r="O193" s="2">
        <v>107890716</v>
      </c>
      <c r="P193" s="2">
        <v>6095</v>
      </c>
    </row>
    <row r="194" spans="1:16" x14ac:dyDescent="0.25">
      <c r="A194" s="1">
        <v>43416</v>
      </c>
      <c r="B194" s="2">
        <v>425029655.25400001</v>
      </c>
      <c r="C194" s="2">
        <v>425029655.25400001</v>
      </c>
      <c r="D194" s="2">
        <v>571162</v>
      </c>
      <c r="E194" s="2">
        <v>21820085619.599998</v>
      </c>
      <c r="F194" s="2">
        <v>211.51</v>
      </c>
      <c r="G194" s="2">
        <v>1452380000</v>
      </c>
      <c r="H194" s="2">
        <v>20310.28125</v>
      </c>
      <c r="I194" s="2">
        <v>443.35355025600001</v>
      </c>
      <c r="J194" s="2" t="s">
        <v>2382</v>
      </c>
      <c r="K194" s="2">
        <v>2.3266100000000001E-2</v>
      </c>
      <c r="L194" s="2">
        <v>2.4769499999999998E-4</v>
      </c>
      <c r="M194" s="2">
        <v>3007847392320000</v>
      </c>
      <c r="N194" s="2">
        <v>252931</v>
      </c>
      <c r="O194" s="2">
        <v>113664810</v>
      </c>
      <c r="P194" s="2">
        <v>6171</v>
      </c>
    </row>
    <row r="195" spans="1:16" x14ac:dyDescent="0.25">
      <c r="A195" s="1">
        <v>43415</v>
      </c>
      <c r="B195" s="2">
        <v>259987697.68799999</v>
      </c>
      <c r="C195" s="2">
        <v>259987697.68799999</v>
      </c>
      <c r="D195" s="2">
        <v>527799</v>
      </c>
      <c r="E195" s="2">
        <v>21916049105.299999</v>
      </c>
      <c r="F195" s="2">
        <v>212.48</v>
      </c>
      <c r="G195" s="2">
        <v>1501600000</v>
      </c>
      <c r="H195" s="2">
        <v>20310.09375</v>
      </c>
      <c r="I195" s="2">
        <v>276.610296667</v>
      </c>
      <c r="J195" s="2" t="s">
        <v>2383</v>
      </c>
      <c r="K195" s="2">
        <v>0</v>
      </c>
      <c r="L195" s="2">
        <v>1.5976303499999999E-4</v>
      </c>
      <c r="M195" s="2">
        <v>3082395116870000</v>
      </c>
      <c r="N195" s="2">
        <v>230079</v>
      </c>
      <c r="O195" s="2">
        <v>104633209</v>
      </c>
      <c r="P195" s="2">
        <v>6121</v>
      </c>
    </row>
    <row r="196" spans="1:16" x14ac:dyDescent="0.25">
      <c r="A196" s="1">
        <v>43414</v>
      </c>
      <c r="B196" s="2">
        <v>252190500.78299999</v>
      </c>
      <c r="C196" s="2">
        <v>252190500.78299999</v>
      </c>
      <c r="D196" s="2">
        <v>489120</v>
      </c>
      <c r="E196" s="2">
        <v>21653195232.700001</v>
      </c>
      <c r="F196" s="2">
        <v>209.97</v>
      </c>
      <c r="G196" s="2">
        <v>1377760000</v>
      </c>
      <c r="H196" s="2">
        <v>20416.125</v>
      </c>
      <c r="I196" s="2">
        <v>298.40783596699998</v>
      </c>
      <c r="J196" s="2" t="s">
        <v>2384</v>
      </c>
      <c r="K196" s="2">
        <v>1.994715E-2</v>
      </c>
      <c r="L196" s="2">
        <v>2.06947E-4</v>
      </c>
      <c r="M196" s="2">
        <v>2999300885190000</v>
      </c>
      <c r="N196" s="2">
        <v>214599</v>
      </c>
      <c r="O196" s="2">
        <v>100102037</v>
      </c>
      <c r="P196" s="2">
        <v>6113</v>
      </c>
    </row>
    <row r="197" spans="1:16" x14ac:dyDescent="0.25">
      <c r="A197" s="1">
        <v>43413</v>
      </c>
      <c r="B197" s="2">
        <v>386194793.14399999</v>
      </c>
      <c r="C197" s="2">
        <v>386194793.14399999</v>
      </c>
      <c r="D197" s="2">
        <v>547848</v>
      </c>
      <c r="E197" s="2">
        <v>21857291426.900002</v>
      </c>
      <c r="F197" s="2">
        <v>211.99</v>
      </c>
      <c r="G197" s="2">
        <v>1554750000</v>
      </c>
      <c r="H197" s="2">
        <v>20247.28125</v>
      </c>
      <c r="I197" s="2">
        <v>411.38815206800001</v>
      </c>
      <c r="J197" s="2" t="s">
        <v>2385</v>
      </c>
      <c r="K197" s="2">
        <v>0.21199000000000001</v>
      </c>
      <c r="L197" s="2">
        <v>3.3106500000000002E-4</v>
      </c>
      <c r="M197" s="2">
        <v>3003136497100000</v>
      </c>
      <c r="N197" s="2">
        <v>251731</v>
      </c>
      <c r="O197" s="2">
        <v>106404819</v>
      </c>
      <c r="P197" s="2">
        <v>6091</v>
      </c>
    </row>
    <row r="198" spans="1:16" x14ac:dyDescent="0.25">
      <c r="A198" s="1">
        <v>43412</v>
      </c>
      <c r="B198" s="2">
        <v>433972587.39099997</v>
      </c>
      <c r="C198" s="2">
        <v>433972587.39099997</v>
      </c>
      <c r="D198" s="2">
        <v>555392</v>
      </c>
      <c r="E198" s="2">
        <v>22403150215.799999</v>
      </c>
      <c r="F198" s="2">
        <v>217.33</v>
      </c>
      <c r="G198" s="2">
        <v>1769080000</v>
      </c>
      <c r="H198" s="2">
        <v>20233.40625</v>
      </c>
      <c r="I198" s="2">
        <v>547.58824724900001</v>
      </c>
      <c r="J198" s="2" t="s">
        <v>2386</v>
      </c>
      <c r="K198" s="2">
        <v>0</v>
      </c>
      <c r="L198" s="2">
        <v>3.81975E-4</v>
      </c>
      <c r="M198" s="2">
        <v>3062212840480000</v>
      </c>
      <c r="N198" s="2">
        <v>238874</v>
      </c>
      <c r="O198" s="2">
        <v>111487489</v>
      </c>
      <c r="P198" s="2">
        <v>6066</v>
      </c>
    </row>
    <row r="199" spans="1:16" x14ac:dyDescent="0.25">
      <c r="A199" s="1">
        <v>43411</v>
      </c>
      <c r="B199" s="2">
        <v>516493714.00300002</v>
      </c>
      <c r="C199" s="2">
        <v>516493714.00300002</v>
      </c>
      <c r="D199" s="2">
        <v>564602</v>
      </c>
      <c r="E199" s="2">
        <v>22560768202.5</v>
      </c>
      <c r="F199" s="2">
        <v>218.9</v>
      </c>
      <c r="G199" s="2">
        <v>1927830000</v>
      </c>
      <c r="H199" s="2">
        <v>20481.46875</v>
      </c>
      <c r="I199" s="2">
        <v>467.816806095</v>
      </c>
      <c r="J199" s="2" t="s">
        <v>2387</v>
      </c>
      <c r="K199" s="2">
        <v>0</v>
      </c>
      <c r="L199" s="2">
        <v>3.7308000000000003E-4</v>
      </c>
      <c r="M199" s="2">
        <v>3002738385680000</v>
      </c>
      <c r="N199" s="2">
        <v>243378</v>
      </c>
      <c r="O199" s="2">
        <v>109335876</v>
      </c>
      <c r="P199" s="2">
        <v>6144</v>
      </c>
    </row>
    <row r="200" spans="1:16" x14ac:dyDescent="0.25">
      <c r="A200" s="1">
        <v>43410</v>
      </c>
      <c r="B200" s="2">
        <v>443247773.42699999</v>
      </c>
      <c r="C200" s="2">
        <v>443247773.42699999</v>
      </c>
      <c r="D200" s="2">
        <v>597166</v>
      </c>
      <c r="E200" s="2">
        <v>21522997616.200001</v>
      </c>
      <c r="F200" s="2">
        <v>209.47</v>
      </c>
      <c r="G200" s="2">
        <v>1856940000</v>
      </c>
      <c r="H200" s="2">
        <v>20251.78125</v>
      </c>
      <c r="I200" s="2">
        <v>508.60211758000003</v>
      </c>
      <c r="J200" s="2" t="s">
        <v>2388</v>
      </c>
      <c r="K200" s="2">
        <v>0</v>
      </c>
      <c r="L200" s="2">
        <v>4.2000000000000002E-4</v>
      </c>
      <c r="M200" s="2">
        <v>3013425086780000</v>
      </c>
      <c r="N200" s="2">
        <v>253421</v>
      </c>
      <c r="O200" s="2">
        <v>114570828</v>
      </c>
      <c r="P200" s="2">
        <v>6064</v>
      </c>
    </row>
    <row r="201" spans="1:16" x14ac:dyDescent="0.25">
      <c r="A201" s="1">
        <v>43409</v>
      </c>
      <c r="B201" s="2">
        <v>532161225.046</v>
      </c>
      <c r="C201" s="2">
        <v>532161225.046</v>
      </c>
      <c r="D201" s="2">
        <v>582354</v>
      </c>
      <c r="E201" s="2">
        <v>21335981889.299999</v>
      </c>
      <c r="F201" s="2">
        <v>207.1</v>
      </c>
      <c r="G201" s="2">
        <v>1613510000</v>
      </c>
      <c r="H201" s="2">
        <v>20394.09375</v>
      </c>
      <c r="I201" s="2">
        <v>503.19242693199999</v>
      </c>
      <c r="J201" s="2" t="s">
        <v>2389</v>
      </c>
      <c r="K201" s="2">
        <v>0.10355</v>
      </c>
      <c r="L201" s="2">
        <v>4.2000000000000002E-4</v>
      </c>
      <c r="M201" s="2">
        <v>2989387615290000</v>
      </c>
      <c r="N201" s="2">
        <v>257958</v>
      </c>
      <c r="O201" s="2">
        <v>106688788</v>
      </c>
      <c r="P201" s="2">
        <v>6075</v>
      </c>
    </row>
    <row r="202" spans="1:16" x14ac:dyDescent="0.25">
      <c r="A202" s="1">
        <v>43408</v>
      </c>
      <c r="B202" s="2">
        <v>337065815.59399998</v>
      </c>
      <c r="C202" s="2">
        <v>337065815.59399998</v>
      </c>
      <c r="D202" s="2">
        <v>510848</v>
      </c>
      <c r="E202" s="2">
        <v>20616428718</v>
      </c>
      <c r="F202" s="2">
        <v>200.16</v>
      </c>
      <c r="G202" s="2">
        <v>1749300000</v>
      </c>
      <c r="H202" s="2">
        <v>20283.09375</v>
      </c>
      <c r="I202" s="2">
        <v>353.36441299699999</v>
      </c>
      <c r="J202" s="2" t="s">
        <v>2390</v>
      </c>
      <c r="K202" s="2">
        <v>0</v>
      </c>
      <c r="L202" s="2">
        <v>3.1500000000000001E-4</v>
      </c>
      <c r="M202" s="2">
        <v>3033495071540000</v>
      </c>
      <c r="N202" s="2">
        <v>214515</v>
      </c>
      <c r="O202" s="2">
        <v>97059819</v>
      </c>
      <c r="P202" s="2">
        <v>6109</v>
      </c>
    </row>
    <row r="203" spans="1:16" x14ac:dyDescent="0.25">
      <c r="A203" s="1">
        <v>43407</v>
      </c>
      <c r="B203" s="2">
        <v>241845630.80199999</v>
      </c>
      <c r="C203" s="2">
        <v>241845630.80199999</v>
      </c>
      <c r="D203" s="2">
        <v>505015</v>
      </c>
      <c r="E203" s="2">
        <v>20672077801.900002</v>
      </c>
      <c r="F203" s="2">
        <v>200.74</v>
      </c>
      <c r="G203" s="2">
        <v>1307150000</v>
      </c>
      <c r="H203" s="2">
        <v>20180.34375</v>
      </c>
      <c r="I203" s="2">
        <v>396.98433261700001</v>
      </c>
      <c r="J203" s="2" t="s">
        <v>2391</v>
      </c>
      <c r="K203" s="2">
        <v>0</v>
      </c>
      <c r="L203" s="2">
        <v>3.0936599999999999E-4</v>
      </c>
      <c r="M203" s="2">
        <v>3000830845970000</v>
      </c>
      <c r="N203" s="2">
        <v>218620</v>
      </c>
      <c r="O203" s="2">
        <v>96680956</v>
      </c>
      <c r="P203" s="2">
        <v>6119</v>
      </c>
    </row>
    <row r="204" spans="1:16" x14ac:dyDescent="0.25">
      <c r="A204" s="1">
        <v>43406</v>
      </c>
      <c r="B204" s="2">
        <v>415559850.99599999</v>
      </c>
      <c r="C204" s="2">
        <v>415559850.99599999</v>
      </c>
      <c r="D204" s="2">
        <v>548534</v>
      </c>
      <c r="E204" s="2">
        <v>20487739444.099998</v>
      </c>
      <c r="F204" s="2">
        <v>198.98</v>
      </c>
      <c r="G204" s="2">
        <v>1451870000</v>
      </c>
      <c r="H204" s="2">
        <v>20139.65625</v>
      </c>
      <c r="I204" s="2">
        <v>443.73138523199998</v>
      </c>
      <c r="J204" s="2" t="s">
        <v>2392</v>
      </c>
      <c r="K204" s="2">
        <v>0</v>
      </c>
      <c r="L204" s="2">
        <v>3.6154999999999998E-4</v>
      </c>
      <c r="M204" s="2">
        <v>3004502036150000</v>
      </c>
      <c r="N204" s="2">
        <v>235002</v>
      </c>
      <c r="O204" s="2">
        <v>104183397</v>
      </c>
      <c r="P204" s="2">
        <v>6069</v>
      </c>
    </row>
    <row r="205" spans="1:16" x14ac:dyDescent="0.25">
      <c r="A205" s="1">
        <v>43405</v>
      </c>
      <c r="B205" s="2">
        <v>350464571.80500001</v>
      </c>
      <c r="C205" s="2">
        <v>350464571.80500001</v>
      </c>
      <c r="D205" s="2">
        <v>589096</v>
      </c>
      <c r="E205" s="2">
        <v>20335192701.900002</v>
      </c>
      <c r="F205" s="2">
        <v>197.54</v>
      </c>
      <c r="G205" s="2">
        <v>1336700000</v>
      </c>
      <c r="H205" s="2">
        <v>20239.21875</v>
      </c>
      <c r="I205" s="2">
        <v>406.72832979600003</v>
      </c>
      <c r="J205" s="2" t="s">
        <v>2393</v>
      </c>
      <c r="K205" s="2">
        <v>0</v>
      </c>
      <c r="L205" s="2">
        <v>2.6868239999999999E-4</v>
      </c>
      <c r="M205" s="2">
        <v>3061598024720000</v>
      </c>
      <c r="N205" s="2">
        <v>253689</v>
      </c>
      <c r="O205" s="2">
        <v>109763750</v>
      </c>
      <c r="P205" s="2">
        <v>6069</v>
      </c>
    </row>
    <row r="206" spans="1:16" x14ac:dyDescent="0.25">
      <c r="A206" s="1">
        <v>43404</v>
      </c>
      <c r="B206" s="2">
        <v>405403939.523</v>
      </c>
      <c r="C206" s="2">
        <v>405403939.523</v>
      </c>
      <c r="D206" s="2">
        <v>585707</v>
      </c>
      <c r="E206" s="2">
        <v>20342416908</v>
      </c>
      <c r="F206" s="2">
        <v>197.65</v>
      </c>
      <c r="G206" s="2">
        <v>1442380000</v>
      </c>
      <c r="H206" s="2">
        <v>20505.09375</v>
      </c>
      <c r="I206" s="2">
        <v>423.39156046599999</v>
      </c>
      <c r="J206" s="2" t="s">
        <v>2394</v>
      </c>
      <c r="K206" s="2">
        <v>2.5265895975000001E-2</v>
      </c>
      <c r="L206" s="2">
        <v>2.7300000000000002E-4</v>
      </c>
      <c r="M206" s="2">
        <v>3108431034820000</v>
      </c>
      <c r="N206" s="2">
        <v>261009</v>
      </c>
      <c r="O206" s="2">
        <v>110007579</v>
      </c>
      <c r="P206" s="2">
        <v>6157</v>
      </c>
    </row>
    <row r="207" spans="1:16" x14ac:dyDescent="0.25">
      <c r="A207" s="1">
        <v>43403</v>
      </c>
      <c r="B207" s="2">
        <v>357633030.45300001</v>
      </c>
      <c r="C207" s="2">
        <v>357633030.45300001</v>
      </c>
      <c r="D207" s="2">
        <v>608397</v>
      </c>
      <c r="E207" s="2">
        <v>20291536652.799999</v>
      </c>
      <c r="F207" s="2">
        <v>197.2</v>
      </c>
      <c r="G207" s="2">
        <v>1363500000</v>
      </c>
      <c r="H207" s="2">
        <v>20171.25</v>
      </c>
      <c r="I207" s="2">
        <v>422.831718432</v>
      </c>
      <c r="J207" s="2" t="s">
        <v>2395</v>
      </c>
      <c r="K207" s="2">
        <v>0</v>
      </c>
      <c r="L207" s="2">
        <v>2.93391E-4</v>
      </c>
      <c r="M207" s="2">
        <v>3099489581850000</v>
      </c>
      <c r="N207" s="2">
        <v>262228</v>
      </c>
      <c r="O207" s="2">
        <v>115319381</v>
      </c>
      <c r="P207" s="2">
        <v>6043</v>
      </c>
    </row>
    <row r="208" spans="1:16" x14ac:dyDescent="0.25">
      <c r="A208" s="1">
        <v>43402</v>
      </c>
      <c r="B208" s="2">
        <v>448950132.986</v>
      </c>
      <c r="C208" s="2">
        <v>448950132.986</v>
      </c>
      <c r="D208" s="2">
        <v>614695</v>
      </c>
      <c r="E208" s="2">
        <v>21107610088.200001</v>
      </c>
      <c r="F208" s="2">
        <v>205.17</v>
      </c>
      <c r="G208" s="2">
        <v>1517230000</v>
      </c>
      <c r="H208" s="2">
        <v>20396.0625</v>
      </c>
      <c r="I208" s="2">
        <v>427.227664414</v>
      </c>
      <c r="J208" s="2" t="s">
        <v>2396</v>
      </c>
      <c r="K208" s="2">
        <v>3.7664431539000003E-2</v>
      </c>
      <c r="L208" s="2">
        <v>2.9396400000000002E-4</v>
      </c>
      <c r="M208" s="2">
        <v>3051838461850000</v>
      </c>
      <c r="N208" s="2">
        <v>271592</v>
      </c>
      <c r="O208" s="2">
        <v>120260852</v>
      </c>
      <c r="P208" s="2">
        <v>6111</v>
      </c>
    </row>
    <row r="209" spans="1:16" x14ac:dyDescent="0.25">
      <c r="A209" s="1">
        <v>43401</v>
      </c>
      <c r="B209" s="2">
        <v>227953011.48699999</v>
      </c>
      <c r="C209" s="2">
        <v>227953011.48699999</v>
      </c>
      <c r="D209" s="2">
        <v>509862</v>
      </c>
      <c r="E209" s="2">
        <v>21035449637</v>
      </c>
      <c r="F209" s="2">
        <v>204.51</v>
      </c>
      <c r="G209" s="2">
        <v>1139140000</v>
      </c>
      <c r="H209" s="2">
        <v>20309.0625</v>
      </c>
      <c r="I209" s="2">
        <v>332.819870181</v>
      </c>
      <c r="J209" s="2" t="s">
        <v>2397</v>
      </c>
      <c r="K209" s="2">
        <v>4.0457190749999997E-2</v>
      </c>
      <c r="L209" s="2">
        <v>2.2049999999999999E-4</v>
      </c>
      <c r="M209" s="2">
        <v>3096523016010000</v>
      </c>
      <c r="N209" s="2">
        <v>221942</v>
      </c>
      <c r="O209" s="2">
        <v>95577302</v>
      </c>
      <c r="P209" s="2">
        <v>6137</v>
      </c>
    </row>
    <row r="210" spans="1:16" x14ac:dyDescent="0.25">
      <c r="A210" s="1">
        <v>43400</v>
      </c>
      <c r="B210" s="2">
        <v>227076225.35499999</v>
      </c>
      <c r="C210" s="2">
        <v>227076225.35499999</v>
      </c>
      <c r="D210" s="2">
        <v>499165</v>
      </c>
      <c r="E210" s="2">
        <v>20913439417.400002</v>
      </c>
      <c r="F210" s="2">
        <v>203.36</v>
      </c>
      <c r="G210" s="2">
        <v>1084810000</v>
      </c>
      <c r="H210" s="2">
        <v>20245.03125</v>
      </c>
      <c r="I210" s="2">
        <v>352.77707810300001</v>
      </c>
      <c r="J210" s="2" t="s">
        <v>2398</v>
      </c>
      <c r="K210" s="2">
        <v>0</v>
      </c>
      <c r="L210" s="2">
        <v>2.43945E-4</v>
      </c>
      <c r="M210" s="2">
        <v>3127761285100000</v>
      </c>
      <c r="N210" s="2">
        <v>211461</v>
      </c>
      <c r="O210" s="2">
        <v>92805166</v>
      </c>
      <c r="P210" s="2">
        <v>6100</v>
      </c>
    </row>
    <row r="211" spans="1:16" x14ac:dyDescent="0.25">
      <c r="A211" s="1">
        <v>43399</v>
      </c>
      <c r="B211" s="2">
        <v>392403956.62599999</v>
      </c>
      <c r="C211" s="2">
        <v>392403956.62599999</v>
      </c>
      <c r="D211" s="2">
        <v>551218</v>
      </c>
      <c r="E211" s="2">
        <v>20804340299.799999</v>
      </c>
      <c r="F211" s="2">
        <v>202.34</v>
      </c>
      <c r="G211" s="2">
        <v>1161310000</v>
      </c>
      <c r="H211" s="2">
        <v>20499.84375</v>
      </c>
      <c r="I211" s="2">
        <v>480.74973070800002</v>
      </c>
      <c r="J211" s="2" t="s">
        <v>2399</v>
      </c>
      <c r="K211" s="2">
        <v>0.24297794536600001</v>
      </c>
      <c r="L211" s="2">
        <v>3.3560253124999999E-4</v>
      </c>
      <c r="M211" s="2">
        <v>3064792686280000</v>
      </c>
      <c r="N211" s="2">
        <v>252383</v>
      </c>
      <c r="O211" s="2">
        <v>123138046</v>
      </c>
      <c r="P211" s="2">
        <v>6122</v>
      </c>
    </row>
    <row r="212" spans="1:16" x14ac:dyDescent="0.25">
      <c r="A212" s="1">
        <v>43398</v>
      </c>
      <c r="B212" s="2">
        <v>500350522.18199998</v>
      </c>
      <c r="C212" s="2">
        <v>500350522.18199998</v>
      </c>
      <c r="D212" s="2">
        <v>537236</v>
      </c>
      <c r="E212" s="2">
        <v>20957477041.200001</v>
      </c>
      <c r="F212" s="2">
        <v>203.87</v>
      </c>
      <c r="G212" s="2">
        <v>1102900000</v>
      </c>
      <c r="H212" s="2">
        <v>20246.625</v>
      </c>
      <c r="I212" s="2">
        <v>543.00803941599997</v>
      </c>
      <c r="J212" s="2" t="s">
        <v>2400</v>
      </c>
      <c r="K212" s="2">
        <v>0.19043303023499999</v>
      </c>
      <c r="L212" s="2">
        <v>3.7774E-4</v>
      </c>
      <c r="M212" s="2">
        <v>3122254942830000</v>
      </c>
      <c r="N212" s="2">
        <v>247801</v>
      </c>
      <c r="O212" s="2">
        <v>133964757</v>
      </c>
      <c r="P212" s="2">
        <v>6123</v>
      </c>
    </row>
    <row r="213" spans="1:16" x14ac:dyDescent="0.25">
      <c r="A213" s="1">
        <v>43397</v>
      </c>
      <c r="B213" s="2">
        <v>381403280.03200001</v>
      </c>
      <c r="C213" s="2">
        <v>381403280.03200001</v>
      </c>
      <c r="D213" s="2">
        <v>532709</v>
      </c>
      <c r="E213" s="2">
        <v>20980381280.700001</v>
      </c>
      <c r="F213" s="2">
        <v>204.13</v>
      </c>
      <c r="G213" s="2">
        <v>1102220000</v>
      </c>
      <c r="H213" s="2">
        <v>20383.03125</v>
      </c>
      <c r="I213" s="2">
        <v>470.94443505800001</v>
      </c>
      <c r="J213" s="2" t="s">
        <v>2401</v>
      </c>
      <c r="K213" s="2">
        <v>0.69544629518800005</v>
      </c>
      <c r="L213" s="2">
        <v>3.6001749999999997E-4</v>
      </c>
      <c r="M213" s="2">
        <v>3147334568740000</v>
      </c>
      <c r="N213" s="2">
        <v>253199</v>
      </c>
      <c r="O213" s="2">
        <v>126564501</v>
      </c>
      <c r="P213" s="2">
        <v>6124</v>
      </c>
    </row>
    <row r="214" spans="1:16" x14ac:dyDescent="0.25">
      <c r="A214" s="1">
        <v>43396</v>
      </c>
      <c r="B214" s="2">
        <v>381216806.12099999</v>
      </c>
      <c r="C214" s="2">
        <v>381216806.12099999</v>
      </c>
      <c r="D214" s="2">
        <v>556231</v>
      </c>
      <c r="E214" s="2">
        <v>20964299914.400002</v>
      </c>
      <c r="F214" s="2">
        <v>204.02</v>
      </c>
      <c r="G214" s="2">
        <v>1237490000</v>
      </c>
      <c r="H214" s="2">
        <v>20575.875</v>
      </c>
      <c r="I214" s="2">
        <v>407.24140012599997</v>
      </c>
      <c r="J214" s="2" t="s">
        <v>2402</v>
      </c>
      <c r="K214" s="2">
        <v>4.0967216000000001E-2</v>
      </c>
      <c r="L214" s="2">
        <v>2.7449499999999998E-4</v>
      </c>
      <c r="M214" s="2">
        <v>3099870696460000</v>
      </c>
      <c r="N214" s="2">
        <v>244347</v>
      </c>
      <c r="O214" s="2">
        <v>108661000</v>
      </c>
      <c r="P214" s="2">
        <v>6168</v>
      </c>
    </row>
    <row r="215" spans="1:16" x14ac:dyDescent="0.25">
      <c r="A215" s="1">
        <v>43395</v>
      </c>
      <c r="B215" s="2">
        <v>364251709.05599999</v>
      </c>
      <c r="C215" s="2">
        <v>364251709.05599999</v>
      </c>
      <c r="D215" s="2">
        <v>577314</v>
      </c>
      <c r="E215" s="2">
        <v>21079072980.799999</v>
      </c>
      <c r="F215" s="2">
        <v>205.17</v>
      </c>
      <c r="G215" s="2">
        <v>1328980000</v>
      </c>
      <c r="H215" s="2">
        <v>20250.65625</v>
      </c>
      <c r="I215" s="2">
        <v>399.54400831800001</v>
      </c>
      <c r="J215" s="2" t="s">
        <v>2403</v>
      </c>
      <c r="K215" s="2">
        <v>0</v>
      </c>
      <c r="L215" s="2">
        <v>2.2375199999999999E-4</v>
      </c>
      <c r="M215" s="2">
        <v>3114618582180000</v>
      </c>
      <c r="N215" s="2">
        <v>245202</v>
      </c>
      <c r="O215" s="2">
        <v>118695553</v>
      </c>
      <c r="P215" s="2">
        <v>6065</v>
      </c>
    </row>
    <row r="216" spans="1:16" x14ac:dyDescent="0.25">
      <c r="A216" s="1">
        <v>43394</v>
      </c>
      <c r="B216" s="2">
        <v>432292940.46100003</v>
      </c>
      <c r="C216" s="2">
        <v>432292940.46100003</v>
      </c>
      <c r="D216" s="2">
        <v>508014</v>
      </c>
      <c r="E216" s="2">
        <v>21097310359.400002</v>
      </c>
      <c r="F216" s="2">
        <v>205.39</v>
      </c>
      <c r="G216" s="2">
        <v>1190300000</v>
      </c>
      <c r="H216" s="2">
        <v>20354.71875</v>
      </c>
      <c r="I216" s="2">
        <v>331.52802188200002</v>
      </c>
      <c r="J216" s="2" t="s">
        <v>2404</v>
      </c>
      <c r="K216" s="2">
        <v>0</v>
      </c>
      <c r="L216" s="2">
        <v>2.309787E-4</v>
      </c>
      <c r="M216" s="2">
        <v>3128314975530000</v>
      </c>
      <c r="N216" s="2">
        <v>207553</v>
      </c>
      <c r="O216" s="2">
        <v>98694145</v>
      </c>
      <c r="P216" s="2">
        <v>6124</v>
      </c>
    </row>
    <row r="217" spans="1:16" x14ac:dyDescent="0.25">
      <c r="A217" s="1">
        <v>43393</v>
      </c>
      <c r="B217" s="2">
        <v>318550821.39700001</v>
      </c>
      <c r="C217" s="2">
        <v>318550821.39700001</v>
      </c>
      <c r="D217" s="2">
        <v>534080</v>
      </c>
      <c r="E217" s="2">
        <v>20899859118.400002</v>
      </c>
      <c r="F217" s="2">
        <v>203.51</v>
      </c>
      <c r="G217" s="2">
        <v>1238780000</v>
      </c>
      <c r="H217" s="2">
        <v>20449.96875</v>
      </c>
      <c r="I217" s="2">
        <v>365.68289358300001</v>
      </c>
      <c r="J217" s="2" t="s">
        <v>2405</v>
      </c>
      <c r="K217" s="2">
        <v>1.0796205499999999E-2</v>
      </c>
      <c r="L217" s="2">
        <v>2.5986059999999998E-4</v>
      </c>
      <c r="M217" s="2">
        <v>3157205682240000</v>
      </c>
      <c r="N217" s="2">
        <v>231475</v>
      </c>
      <c r="O217" s="2">
        <v>97001285</v>
      </c>
      <c r="P217" s="2">
        <v>6158</v>
      </c>
    </row>
    <row r="218" spans="1:16" x14ac:dyDescent="0.25">
      <c r="A218" s="1">
        <v>43392</v>
      </c>
      <c r="B218" s="2">
        <v>399438530.42500001</v>
      </c>
      <c r="C218" s="2">
        <v>399438530.42500001</v>
      </c>
      <c r="D218" s="2">
        <v>601119</v>
      </c>
      <c r="E218" s="2">
        <v>20869716153.099998</v>
      </c>
      <c r="F218" s="2">
        <v>203.26</v>
      </c>
      <c r="G218" s="2">
        <v>1264480000</v>
      </c>
      <c r="H218" s="2">
        <v>20293.59375</v>
      </c>
      <c r="I218" s="2">
        <v>414.567744807</v>
      </c>
      <c r="J218" s="2" t="s">
        <v>2406</v>
      </c>
      <c r="K218" s="2">
        <v>0</v>
      </c>
      <c r="L218" s="2">
        <v>2.8574699999999999E-4</v>
      </c>
      <c r="M218" s="2">
        <v>3213605312720000</v>
      </c>
      <c r="N218" s="2">
        <v>234777</v>
      </c>
      <c r="O218" s="2">
        <v>112470618</v>
      </c>
      <c r="P218" s="2">
        <v>6065</v>
      </c>
    </row>
    <row r="219" spans="1:16" x14ac:dyDescent="0.25">
      <c r="A219" s="1">
        <v>43391</v>
      </c>
      <c r="B219" s="2">
        <v>535929679.69300002</v>
      </c>
      <c r="C219" s="2">
        <v>535929679.69300002</v>
      </c>
      <c r="D219" s="2">
        <v>565791</v>
      </c>
      <c r="E219" s="2">
        <v>21291102999.5</v>
      </c>
      <c r="F219" s="2">
        <v>207.4</v>
      </c>
      <c r="G219" s="2">
        <v>1365860000</v>
      </c>
      <c r="H219" s="2">
        <v>20439.46875</v>
      </c>
      <c r="I219" s="2">
        <v>362.98637735</v>
      </c>
      <c r="J219" s="2" t="s">
        <v>2407</v>
      </c>
      <c r="K219" s="2">
        <v>0</v>
      </c>
      <c r="L219" s="2">
        <v>2.170935E-4</v>
      </c>
      <c r="M219" s="2">
        <v>3237578316540000</v>
      </c>
      <c r="N219" s="2">
        <v>245004</v>
      </c>
      <c r="O219" s="2">
        <v>109136645</v>
      </c>
      <c r="P219" s="2">
        <v>6142</v>
      </c>
    </row>
    <row r="220" spans="1:16" x14ac:dyDescent="0.25">
      <c r="A220" s="1">
        <v>43390</v>
      </c>
      <c r="B220" s="2">
        <v>444476564.51200002</v>
      </c>
      <c r="C220" s="2">
        <v>444476564.51200002</v>
      </c>
      <c r="D220" s="2">
        <v>580354</v>
      </c>
      <c r="E220" s="2">
        <v>21576398640.400002</v>
      </c>
      <c r="F220" s="2">
        <v>210.22</v>
      </c>
      <c r="G220" s="2">
        <v>1444130000</v>
      </c>
      <c r="H220" s="2">
        <v>20397.28125</v>
      </c>
      <c r="I220" s="2">
        <v>382.89937700899998</v>
      </c>
      <c r="J220" s="2" t="s">
        <v>2408</v>
      </c>
      <c r="K220" s="2">
        <v>1.318941302E-2</v>
      </c>
      <c r="L220" s="2">
        <v>2.27429240019E-4</v>
      </c>
      <c r="M220" s="2">
        <v>3189854172660000</v>
      </c>
      <c r="N220" s="2">
        <v>249995</v>
      </c>
      <c r="O220" s="2">
        <v>108888589</v>
      </c>
      <c r="P220" s="2">
        <v>6130</v>
      </c>
    </row>
    <row r="221" spans="1:16" x14ac:dyDescent="0.25">
      <c r="A221" s="1">
        <v>43389</v>
      </c>
      <c r="B221" s="2">
        <v>538804885.10099995</v>
      </c>
      <c r="C221" s="2">
        <v>538804885.10099995</v>
      </c>
      <c r="D221" s="2">
        <v>575450</v>
      </c>
      <c r="E221" s="2">
        <v>21511256920.900002</v>
      </c>
      <c r="F221" s="2">
        <v>209.63</v>
      </c>
      <c r="G221" s="2">
        <v>1532280000</v>
      </c>
      <c r="H221" s="2">
        <v>20380.96875</v>
      </c>
      <c r="I221" s="2">
        <v>351.75516776299997</v>
      </c>
      <c r="J221" s="2" t="s">
        <v>2409</v>
      </c>
      <c r="K221" s="2">
        <v>3.62597011E-2</v>
      </c>
      <c r="L221" s="2">
        <v>2.1000000000000001E-4</v>
      </c>
      <c r="M221" s="2">
        <v>3205597182440000</v>
      </c>
      <c r="N221" s="2">
        <v>250671</v>
      </c>
      <c r="O221" s="2">
        <v>107881069</v>
      </c>
      <c r="P221" s="2">
        <v>6114</v>
      </c>
    </row>
    <row r="222" spans="1:16" x14ac:dyDescent="0.25">
      <c r="A222" s="1">
        <v>43388</v>
      </c>
      <c r="B222" s="2">
        <v>751102108.55299997</v>
      </c>
      <c r="C222" s="2">
        <v>751102108.55299997</v>
      </c>
      <c r="D222" s="2">
        <v>562011</v>
      </c>
      <c r="E222" s="2">
        <v>20034100883.099998</v>
      </c>
      <c r="F222" s="2">
        <v>195.27</v>
      </c>
      <c r="G222" s="2">
        <v>2865830000</v>
      </c>
      <c r="H222" s="2">
        <v>20317.125</v>
      </c>
      <c r="I222" s="2">
        <v>409.71449182499998</v>
      </c>
      <c r="J222" s="2" t="s">
        <v>2410</v>
      </c>
      <c r="K222" s="2">
        <v>9.7635E-2</v>
      </c>
      <c r="L222" s="2">
        <v>3.1133282611199998E-4</v>
      </c>
      <c r="M222" s="2">
        <v>3215462336330000</v>
      </c>
      <c r="N222" s="2">
        <v>248781</v>
      </c>
      <c r="O222" s="2">
        <v>107153415</v>
      </c>
      <c r="P222" s="2">
        <v>6095</v>
      </c>
    </row>
    <row r="223" spans="1:16" x14ac:dyDescent="0.25">
      <c r="A223" s="1">
        <v>43387</v>
      </c>
      <c r="B223" s="2">
        <v>253480218.70899999</v>
      </c>
      <c r="C223" s="2">
        <v>253480218.70899999</v>
      </c>
      <c r="D223" s="2">
        <v>511719</v>
      </c>
      <c r="E223" s="2">
        <v>20482607951.799999</v>
      </c>
      <c r="F223" s="2">
        <v>199.69</v>
      </c>
      <c r="G223" s="2">
        <v>1169260000</v>
      </c>
      <c r="H223" s="2">
        <v>20461.3125</v>
      </c>
      <c r="I223" s="2">
        <v>295.784466141</v>
      </c>
      <c r="J223" s="2" t="s">
        <v>2411</v>
      </c>
      <c r="K223" s="2">
        <v>0</v>
      </c>
      <c r="L223" s="2">
        <v>1.64697E-4</v>
      </c>
      <c r="M223" s="2">
        <v>3220776039520000</v>
      </c>
      <c r="N223" s="2">
        <v>203419</v>
      </c>
      <c r="O223" s="2">
        <v>94228890</v>
      </c>
      <c r="P223" s="2">
        <v>6182</v>
      </c>
    </row>
    <row r="224" spans="1:16" x14ac:dyDescent="0.25">
      <c r="A224" s="1">
        <v>43386</v>
      </c>
      <c r="B224" s="2">
        <v>256211213.68700001</v>
      </c>
      <c r="C224" s="2">
        <v>256211213.68700001</v>
      </c>
      <c r="D224" s="2">
        <v>541797</v>
      </c>
      <c r="E224" s="2">
        <v>20137639442.700001</v>
      </c>
      <c r="F224" s="2">
        <v>196.36</v>
      </c>
      <c r="G224" s="2">
        <v>1167610000</v>
      </c>
      <c r="H224" s="2">
        <v>20437.125</v>
      </c>
      <c r="I224" s="2">
        <v>341.11458215800002</v>
      </c>
      <c r="J224" s="2" t="s">
        <v>2412</v>
      </c>
      <c r="K224" s="2">
        <v>0</v>
      </c>
      <c r="L224" s="2">
        <v>1.6728557999999999E-4</v>
      </c>
      <c r="M224" s="2">
        <v>3196433112530000</v>
      </c>
      <c r="N224" s="2">
        <v>217205</v>
      </c>
      <c r="O224" s="2">
        <v>106962595</v>
      </c>
      <c r="P224" s="2">
        <v>6176</v>
      </c>
    </row>
    <row r="225" spans="1:16" x14ac:dyDescent="0.25">
      <c r="A225" s="1">
        <v>43385</v>
      </c>
      <c r="B225" s="2">
        <v>431836681.62400001</v>
      </c>
      <c r="C225" s="2">
        <v>431836681.62400001</v>
      </c>
      <c r="D225" s="2">
        <v>562140</v>
      </c>
      <c r="E225" s="2">
        <v>19348849608.799999</v>
      </c>
      <c r="F225" s="2">
        <v>188.71</v>
      </c>
      <c r="G225" s="2">
        <v>1487900000</v>
      </c>
      <c r="H225" s="2">
        <v>20384.0625</v>
      </c>
      <c r="I225" s="2">
        <v>617.70652097100003</v>
      </c>
      <c r="J225" s="2" t="s">
        <v>2413</v>
      </c>
      <c r="K225" s="2">
        <v>0</v>
      </c>
      <c r="L225" s="2">
        <v>3.1500000000000001E-4</v>
      </c>
      <c r="M225" s="2">
        <v>3237208572170000</v>
      </c>
      <c r="N225" s="2">
        <v>223000</v>
      </c>
      <c r="O225" s="2">
        <v>124643546</v>
      </c>
      <c r="P225" s="2">
        <v>6170</v>
      </c>
    </row>
    <row r="226" spans="1:16" x14ac:dyDescent="0.25">
      <c r="A226" s="1">
        <v>43384</v>
      </c>
      <c r="B226" s="2">
        <v>771323755.72399998</v>
      </c>
      <c r="C226" s="2">
        <v>771323755.72399998</v>
      </c>
      <c r="D226" s="2">
        <v>570525</v>
      </c>
      <c r="E226" s="2">
        <v>23127920090.599998</v>
      </c>
      <c r="F226" s="2">
        <v>225.61</v>
      </c>
      <c r="G226" s="2">
        <v>2167620000</v>
      </c>
      <c r="H226" s="2">
        <v>20485.3125</v>
      </c>
      <c r="I226" s="2">
        <v>471.92690875900001</v>
      </c>
      <c r="J226" s="2" t="s">
        <v>2414</v>
      </c>
      <c r="K226" s="2">
        <v>2.8111006000000001E-2</v>
      </c>
      <c r="L226" s="2">
        <v>3.0309599999999999E-4</v>
      </c>
      <c r="M226" s="2">
        <v>3219699284380000</v>
      </c>
      <c r="N226" s="2">
        <v>243204</v>
      </c>
      <c r="O226" s="2">
        <v>111592995</v>
      </c>
      <c r="P226" s="2">
        <v>6143</v>
      </c>
    </row>
    <row r="227" spans="1:16" x14ac:dyDescent="0.25">
      <c r="A227" s="1">
        <v>43383</v>
      </c>
      <c r="B227" s="2">
        <v>387897205.92000002</v>
      </c>
      <c r="C227" s="2">
        <v>387897205.92000002</v>
      </c>
      <c r="D227" s="2">
        <v>516772</v>
      </c>
      <c r="E227" s="2">
        <v>23329324042.099998</v>
      </c>
      <c r="F227" s="2">
        <v>227.62</v>
      </c>
      <c r="G227" s="2">
        <v>1384040000</v>
      </c>
      <c r="H227" s="2">
        <v>20361.75</v>
      </c>
      <c r="I227" s="2">
        <v>447.94096471099999</v>
      </c>
      <c r="J227" s="2" t="s">
        <v>2415</v>
      </c>
      <c r="K227" s="2">
        <v>0.136572</v>
      </c>
      <c r="L227" s="2">
        <v>3.1500000000000001E-4</v>
      </c>
      <c r="M227" s="2">
        <v>3294910495260000</v>
      </c>
      <c r="N227" s="2">
        <v>226089</v>
      </c>
      <c r="O227" s="2">
        <v>104033046</v>
      </c>
      <c r="P227" s="2">
        <v>6168</v>
      </c>
    </row>
    <row r="228" spans="1:16" x14ac:dyDescent="0.25">
      <c r="A228" s="1">
        <v>43382</v>
      </c>
      <c r="B228" s="2">
        <v>361060110.264</v>
      </c>
      <c r="C228" s="2">
        <v>361060110.264</v>
      </c>
      <c r="D228" s="2">
        <v>537028</v>
      </c>
      <c r="E228" s="2">
        <v>23539170426</v>
      </c>
      <c r="F228" s="2">
        <v>229.71</v>
      </c>
      <c r="G228" s="2">
        <v>1405130000</v>
      </c>
      <c r="H228" s="2">
        <v>20352.9375</v>
      </c>
      <c r="I228" s="2">
        <v>387.49583711299999</v>
      </c>
      <c r="J228" s="2" t="s">
        <v>2416</v>
      </c>
      <c r="K228" s="2">
        <v>0</v>
      </c>
      <c r="L228" s="2">
        <v>2.254472E-4</v>
      </c>
      <c r="M228" s="2">
        <v>3289361288760000</v>
      </c>
      <c r="N228" s="2">
        <v>216626</v>
      </c>
      <c r="O228" s="2">
        <v>112188265</v>
      </c>
      <c r="P228" s="2">
        <v>6149</v>
      </c>
    </row>
    <row r="229" spans="1:16" x14ac:dyDescent="0.25">
      <c r="A229" s="1">
        <v>43381</v>
      </c>
      <c r="B229" s="2">
        <v>401060422.91799998</v>
      </c>
      <c r="C229" s="2">
        <v>401060422.91799998</v>
      </c>
      <c r="D229" s="2">
        <v>542842</v>
      </c>
      <c r="E229" s="2">
        <v>23206947922.5</v>
      </c>
      <c r="F229" s="2">
        <v>226.51</v>
      </c>
      <c r="G229" s="2">
        <v>1470740000</v>
      </c>
      <c r="H229" s="2">
        <v>20424.9375</v>
      </c>
      <c r="I229" s="2">
        <v>431.49670261400001</v>
      </c>
      <c r="J229" s="2" t="s">
        <v>2417</v>
      </c>
      <c r="K229" s="2">
        <v>2.0122967192000001E-2</v>
      </c>
      <c r="L229" s="2">
        <v>2.9566199999999998E-4</v>
      </c>
      <c r="M229" s="2">
        <v>3311602077650000</v>
      </c>
      <c r="N229" s="2">
        <v>236715</v>
      </c>
      <c r="O229" s="2">
        <v>105264175</v>
      </c>
      <c r="P229" s="2">
        <v>6179</v>
      </c>
    </row>
    <row r="230" spans="1:16" x14ac:dyDescent="0.25">
      <c r="A230" s="1">
        <v>43380</v>
      </c>
      <c r="B230" s="2">
        <v>240328224.59400001</v>
      </c>
      <c r="C230" s="2">
        <v>240328224.59400001</v>
      </c>
      <c r="D230" s="2">
        <v>497767</v>
      </c>
      <c r="E230" s="2">
        <v>23092114681.700001</v>
      </c>
      <c r="F230" s="2">
        <v>225.44</v>
      </c>
      <c r="G230" s="2">
        <v>1470480000</v>
      </c>
      <c r="H230" s="2">
        <v>20521.3125</v>
      </c>
      <c r="I230" s="2">
        <v>314.18782922999998</v>
      </c>
      <c r="J230" s="2" t="s">
        <v>2418</v>
      </c>
      <c r="K230" s="2">
        <v>1.3526399999999999E-2</v>
      </c>
      <c r="L230" s="2">
        <v>1.76312E-4</v>
      </c>
      <c r="M230" s="2">
        <v>3275289114570000</v>
      </c>
      <c r="N230" s="2">
        <v>215643</v>
      </c>
      <c r="O230" s="2">
        <v>96121905</v>
      </c>
      <c r="P230" s="2">
        <v>6241</v>
      </c>
    </row>
    <row r="231" spans="1:16" x14ac:dyDescent="0.25">
      <c r="A231" s="1">
        <v>43379</v>
      </c>
      <c r="B231" s="2">
        <v>267974966.736</v>
      </c>
      <c r="C231" s="2">
        <v>267974966.736</v>
      </c>
      <c r="D231" s="2">
        <v>596865</v>
      </c>
      <c r="E231" s="2">
        <v>23303676388.599998</v>
      </c>
      <c r="F231" s="2">
        <v>227.55</v>
      </c>
      <c r="G231" s="2">
        <v>1505070000</v>
      </c>
      <c r="H231" s="2">
        <v>20491.96875</v>
      </c>
      <c r="I231" s="2">
        <v>290.76919867100003</v>
      </c>
      <c r="J231" s="2" t="s">
        <v>2419</v>
      </c>
      <c r="K231" s="2">
        <v>2.3665200066000001E-3</v>
      </c>
      <c r="L231" s="2">
        <v>1.03422E-4</v>
      </c>
      <c r="M231" s="2">
        <v>3252608506130000</v>
      </c>
      <c r="N231" s="2">
        <v>265479</v>
      </c>
      <c r="O231" s="2">
        <v>109566965</v>
      </c>
      <c r="P231" s="2">
        <v>6222</v>
      </c>
    </row>
    <row r="232" spans="1:16" x14ac:dyDescent="0.25">
      <c r="A232" s="1">
        <v>43378</v>
      </c>
      <c r="B232" s="2">
        <v>377926713.32099998</v>
      </c>
      <c r="C232" s="2">
        <v>377926713.32099998</v>
      </c>
      <c r="D232" s="2">
        <v>595361</v>
      </c>
      <c r="E232" s="2">
        <v>22758489564</v>
      </c>
      <c r="F232" s="2">
        <v>222.27</v>
      </c>
      <c r="G232" s="2">
        <v>1547330000</v>
      </c>
      <c r="H232" s="2">
        <v>20177.0625</v>
      </c>
      <c r="I232" s="2">
        <v>429.83140169199999</v>
      </c>
      <c r="J232" s="2" t="s">
        <v>2420</v>
      </c>
      <c r="K232" s="2">
        <v>0</v>
      </c>
      <c r="L232" s="2">
        <v>2.30865657E-4</v>
      </c>
      <c r="M232" s="2">
        <v>3277001275790000</v>
      </c>
      <c r="N232" s="2">
        <v>251591</v>
      </c>
      <c r="O232" s="2">
        <v>127159907</v>
      </c>
      <c r="P232" s="2">
        <v>6099</v>
      </c>
    </row>
    <row r="233" spans="1:16" x14ac:dyDescent="0.25">
      <c r="A233" s="1">
        <v>43377</v>
      </c>
      <c r="B233" s="2">
        <v>385579576.31400001</v>
      </c>
      <c r="C233" s="2">
        <v>385579576.31400001</v>
      </c>
      <c r="D233" s="2">
        <v>559181</v>
      </c>
      <c r="E233" s="2">
        <v>22567386600.5</v>
      </c>
      <c r="F233" s="2">
        <v>220.45</v>
      </c>
      <c r="G233" s="2">
        <v>1479500000</v>
      </c>
      <c r="H233" s="2">
        <v>20371.875</v>
      </c>
      <c r="I233" s="2">
        <v>441.22754669</v>
      </c>
      <c r="J233" s="2" t="s">
        <v>2421</v>
      </c>
      <c r="K233" s="2">
        <v>4.2702046799999997E-2</v>
      </c>
      <c r="L233" s="2">
        <v>2.6856800000000001E-4</v>
      </c>
      <c r="M233" s="2">
        <v>3261753458930000</v>
      </c>
      <c r="N233" s="2">
        <v>245847</v>
      </c>
      <c r="O233" s="2">
        <v>139236168</v>
      </c>
      <c r="P233" s="2">
        <v>6146</v>
      </c>
    </row>
    <row r="234" spans="1:16" x14ac:dyDescent="0.25">
      <c r="A234" s="1">
        <v>43376</v>
      </c>
      <c r="B234" s="2">
        <v>402749402.16399997</v>
      </c>
      <c r="C234" s="2">
        <v>402749402.16399997</v>
      </c>
      <c r="D234" s="2">
        <v>559006</v>
      </c>
      <c r="E234" s="2">
        <v>23172999410.200001</v>
      </c>
      <c r="F234" s="2">
        <v>226.41</v>
      </c>
      <c r="G234" s="2">
        <v>1683930000</v>
      </c>
      <c r="H234" s="2">
        <v>20293.21875</v>
      </c>
      <c r="I234" s="2">
        <v>444.72578193800001</v>
      </c>
      <c r="J234" s="2" t="s">
        <v>2422</v>
      </c>
      <c r="K234" s="2">
        <v>0</v>
      </c>
      <c r="L234" s="2">
        <v>2.7300000000000002E-4</v>
      </c>
      <c r="M234" s="2">
        <v>3226085186420000</v>
      </c>
      <c r="N234" s="2">
        <v>230837</v>
      </c>
      <c r="O234" s="2">
        <v>130142896</v>
      </c>
      <c r="P234" s="2">
        <v>6075</v>
      </c>
    </row>
    <row r="235" spans="1:16" x14ac:dyDescent="0.25">
      <c r="A235" s="1">
        <v>43375</v>
      </c>
      <c r="B235" s="2">
        <v>280176614.92799997</v>
      </c>
      <c r="C235" s="2">
        <v>280176614.92799997</v>
      </c>
      <c r="D235" s="2">
        <v>490262</v>
      </c>
      <c r="E235" s="2">
        <v>23648538352.099998</v>
      </c>
      <c r="F235" s="2">
        <v>231.1</v>
      </c>
      <c r="G235" s="2">
        <v>1542080000</v>
      </c>
      <c r="H235" s="2">
        <v>20514.1875</v>
      </c>
      <c r="I235" s="2">
        <v>646.26508106200004</v>
      </c>
      <c r="J235" s="2" t="s">
        <v>2423</v>
      </c>
      <c r="K235" s="2">
        <v>0.27732000000000001</v>
      </c>
      <c r="L235" s="2">
        <v>4.7572561501699998E-4</v>
      </c>
      <c r="M235" s="2">
        <v>3211925078740000</v>
      </c>
      <c r="N235" s="2">
        <v>214714</v>
      </c>
      <c r="O235" s="2">
        <v>148979852</v>
      </c>
      <c r="P235" s="2">
        <v>6180</v>
      </c>
    </row>
    <row r="236" spans="1:16" x14ac:dyDescent="0.25">
      <c r="A236" s="1">
        <v>43374</v>
      </c>
      <c r="B236" s="2">
        <v>327751852.10399997</v>
      </c>
      <c r="C236" s="2">
        <v>327751852.10399997</v>
      </c>
      <c r="D236" s="2">
        <v>476308</v>
      </c>
      <c r="E236" s="2">
        <v>23860383794.900002</v>
      </c>
      <c r="F236" s="2">
        <v>233.22</v>
      </c>
      <c r="G236" s="2">
        <v>1597500000</v>
      </c>
      <c r="H236" s="2">
        <v>20302.40625</v>
      </c>
      <c r="I236" s="2">
        <v>611.806878826</v>
      </c>
      <c r="J236" s="2" t="s">
        <v>2424</v>
      </c>
      <c r="K236" s="2">
        <v>1.3993199999999999</v>
      </c>
      <c r="L236" s="2">
        <v>4.51624680026E-4</v>
      </c>
      <c r="M236" s="2">
        <v>3240652601420000</v>
      </c>
      <c r="N236" s="2">
        <v>220008</v>
      </c>
      <c r="O236" s="2">
        <v>149896751</v>
      </c>
      <c r="P236" s="2">
        <v>6095</v>
      </c>
    </row>
    <row r="237" spans="1:16" x14ac:dyDescent="0.25">
      <c r="A237" s="1">
        <v>43373</v>
      </c>
      <c r="B237" s="2">
        <v>333341252.89600003</v>
      </c>
      <c r="C237" s="2">
        <v>333341252.89600003</v>
      </c>
      <c r="D237" s="2">
        <v>479351</v>
      </c>
      <c r="E237" s="2">
        <v>23662327450.200001</v>
      </c>
      <c r="F237" s="2">
        <v>231.33</v>
      </c>
      <c r="G237" s="2">
        <v>1765560000</v>
      </c>
      <c r="H237" s="2">
        <v>20511.09375</v>
      </c>
      <c r="I237" s="2">
        <v>522.13741144899996</v>
      </c>
      <c r="J237" s="2" t="s">
        <v>2425</v>
      </c>
      <c r="K237" s="2">
        <v>0.92532000000000003</v>
      </c>
      <c r="L237" s="2">
        <v>4.0360800000000002E-4</v>
      </c>
      <c r="M237" s="2">
        <v>3260160751340000</v>
      </c>
      <c r="N237" s="2">
        <v>225678</v>
      </c>
      <c r="O237" s="2">
        <v>145793056</v>
      </c>
      <c r="P237" s="2">
        <v>6114</v>
      </c>
    </row>
    <row r="238" spans="1:16" x14ac:dyDescent="0.25">
      <c r="A238" s="1">
        <v>43372</v>
      </c>
      <c r="B238" s="2">
        <v>340227909.24599999</v>
      </c>
      <c r="C238" s="2">
        <v>340227909.24599999</v>
      </c>
      <c r="D238" s="2">
        <v>434315</v>
      </c>
      <c r="E238" s="2">
        <v>22674457624.599998</v>
      </c>
      <c r="F238" s="2">
        <v>221.71</v>
      </c>
      <c r="G238" s="2">
        <v>2208720000</v>
      </c>
      <c r="H238" s="2">
        <v>20239.6875</v>
      </c>
      <c r="I238" s="2">
        <v>662.15832923300002</v>
      </c>
      <c r="J238" s="2" t="s">
        <v>2426</v>
      </c>
      <c r="K238" s="2">
        <v>1.55659509231</v>
      </c>
      <c r="L238" s="2">
        <v>4.8299999999999998E-4</v>
      </c>
      <c r="M238" s="2">
        <v>3265762713990000</v>
      </c>
      <c r="N238" s="2">
        <v>203006</v>
      </c>
      <c r="O238" s="2">
        <v>124506705</v>
      </c>
      <c r="P238" s="2">
        <v>6095</v>
      </c>
    </row>
    <row r="239" spans="1:16" x14ac:dyDescent="0.25">
      <c r="A239" s="1">
        <v>43371</v>
      </c>
      <c r="B239" s="2">
        <v>420196918.65499997</v>
      </c>
      <c r="C239" s="2">
        <v>420196918.65499997</v>
      </c>
      <c r="D239" s="2">
        <v>500407</v>
      </c>
      <c r="E239" s="2">
        <v>23419168599</v>
      </c>
      <c r="F239" s="2">
        <v>229.04</v>
      </c>
      <c r="G239" s="2">
        <v>2018120000</v>
      </c>
      <c r="H239" s="2">
        <v>20415</v>
      </c>
      <c r="I239" s="2">
        <v>620.86564901099996</v>
      </c>
      <c r="J239" s="2" t="s">
        <v>2427</v>
      </c>
      <c r="K239" s="2">
        <v>1.60328</v>
      </c>
      <c r="L239" s="2">
        <v>4.4207099999999999E-4</v>
      </c>
      <c r="M239" s="2">
        <v>3285646830200000</v>
      </c>
      <c r="N239" s="2">
        <v>240680</v>
      </c>
      <c r="O239" s="2">
        <v>171156020</v>
      </c>
      <c r="P239" s="2">
        <v>6098</v>
      </c>
    </row>
    <row r="240" spans="1:16" x14ac:dyDescent="0.25">
      <c r="A240" s="1">
        <v>43370</v>
      </c>
      <c r="B240" s="2">
        <v>401033251.57599998</v>
      </c>
      <c r="C240" s="2">
        <v>401033251.57599998</v>
      </c>
      <c r="D240" s="2">
        <v>504047</v>
      </c>
      <c r="E240" s="2">
        <v>22024367120.5</v>
      </c>
      <c r="F240" s="2">
        <v>215.44</v>
      </c>
      <c r="G240" s="2">
        <v>2030320000</v>
      </c>
      <c r="H240" s="2">
        <v>20514.375</v>
      </c>
      <c r="I240" s="2">
        <v>569.99704313100005</v>
      </c>
      <c r="J240" s="2" t="s">
        <v>2428</v>
      </c>
      <c r="K240" s="2">
        <v>1.5080800000000001</v>
      </c>
      <c r="L240" s="2">
        <v>4.2000000000000002E-4</v>
      </c>
      <c r="M240" s="2">
        <v>3276765282400000</v>
      </c>
      <c r="N240" s="2">
        <v>237501</v>
      </c>
      <c r="O240" s="2">
        <v>179252393</v>
      </c>
      <c r="P240" s="2">
        <v>6081</v>
      </c>
    </row>
    <row r="241" spans="1:16" x14ac:dyDescent="0.25">
      <c r="A241" s="1">
        <v>43369</v>
      </c>
      <c r="B241" s="2">
        <v>464186444.366</v>
      </c>
      <c r="C241" s="2">
        <v>464186444.366</v>
      </c>
      <c r="D241" s="2">
        <v>493507</v>
      </c>
      <c r="E241" s="2">
        <v>22347341092.700001</v>
      </c>
      <c r="F241" s="2">
        <v>218.65</v>
      </c>
      <c r="G241" s="2">
        <v>1756100000</v>
      </c>
      <c r="H241" s="2">
        <v>20603.15625</v>
      </c>
      <c r="I241" s="2">
        <v>535.12629794899999</v>
      </c>
      <c r="J241" s="2" t="s">
        <v>2429</v>
      </c>
      <c r="K241" s="2">
        <v>0.65595000000000003</v>
      </c>
      <c r="L241" s="2">
        <v>4.1742800000000002E-4</v>
      </c>
      <c r="M241" s="2">
        <v>3283669089020000</v>
      </c>
      <c r="N241" s="2">
        <v>227359</v>
      </c>
      <c r="O241" s="2">
        <v>181786029</v>
      </c>
      <c r="P241" s="2">
        <v>6112</v>
      </c>
    </row>
    <row r="242" spans="1:16" x14ac:dyDescent="0.25">
      <c r="A242" s="1">
        <v>43368</v>
      </c>
      <c r="B242" s="2">
        <v>470179865.37599999</v>
      </c>
      <c r="C242" s="2">
        <v>470179865.37599999</v>
      </c>
      <c r="D242" s="2">
        <v>519108</v>
      </c>
      <c r="E242" s="2">
        <v>23332847269.400002</v>
      </c>
      <c r="F242" s="2">
        <v>228.33</v>
      </c>
      <c r="G242" s="2">
        <v>2120360000</v>
      </c>
      <c r="H242" s="2">
        <v>20418</v>
      </c>
      <c r="I242" s="2">
        <v>514.749182324</v>
      </c>
      <c r="J242" s="2" t="s">
        <v>2430</v>
      </c>
      <c r="K242" s="2">
        <v>0.68498999999999999</v>
      </c>
      <c r="L242" s="2">
        <v>3.7623959999999999E-4</v>
      </c>
      <c r="M242" s="2">
        <v>3222555356230000</v>
      </c>
      <c r="N242" s="2">
        <v>235617</v>
      </c>
      <c r="O242" s="2">
        <v>172456307</v>
      </c>
      <c r="P242" s="2">
        <v>6113</v>
      </c>
    </row>
    <row r="243" spans="1:16" x14ac:dyDescent="0.25">
      <c r="A243" s="1">
        <v>43367</v>
      </c>
      <c r="B243" s="2">
        <v>507146651.21899998</v>
      </c>
      <c r="C243" s="2">
        <v>507146651.21899998</v>
      </c>
      <c r="D243" s="2">
        <v>480337</v>
      </c>
      <c r="E243" s="2">
        <v>25014414742.5</v>
      </c>
      <c r="F243" s="2">
        <v>244.84</v>
      </c>
      <c r="G243" s="2">
        <v>1748740000</v>
      </c>
      <c r="H243" s="2">
        <v>20342.25</v>
      </c>
      <c r="I243" s="2">
        <v>679.38681261299996</v>
      </c>
      <c r="J243" s="2" t="s">
        <v>2431</v>
      </c>
      <c r="K243" s="2">
        <v>1.4690399999999999</v>
      </c>
      <c r="L243" s="2">
        <v>3.5075999999999998E-4</v>
      </c>
      <c r="M243" s="2">
        <v>3264681985220000</v>
      </c>
      <c r="N243" s="2">
        <v>219279</v>
      </c>
      <c r="O243" s="2">
        <v>174276721</v>
      </c>
      <c r="P243" s="2">
        <v>6075</v>
      </c>
    </row>
    <row r="244" spans="1:16" x14ac:dyDescent="0.25">
      <c r="A244" s="1">
        <v>43366</v>
      </c>
      <c r="B244" s="2">
        <v>371972454.80699998</v>
      </c>
      <c r="C244" s="2">
        <v>371972454.80699998</v>
      </c>
      <c r="D244" s="2">
        <v>468627</v>
      </c>
      <c r="E244" s="2">
        <v>24616171927.599998</v>
      </c>
      <c r="F244" s="2">
        <v>240.99</v>
      </c>
      <c r="G244" s="2">
        <v>1693470000</v>
      </c>
      <c r="H244" s="2">
        <v>20322.28125</v>
      </c>
      <c r="I244" s="2">
        <v>370.29807188000001</v>
      </c>
      <c r="J244" s="2" t="s">
        <v>2432</v>
      </c>
      <c r="K244" s="2">
        <v>0.33863404446299999</v>
      </c>
      <c r="L244" s="2">
        <v>2.5200922000000002E-4</v>
      </c>
      <c r="M244" s="2">
        <v>3248982293310000</v>
      </c>
      <c r="N244" s="2">
        <v>211285</v>
      </c>
      <c r="O244" s="2">
        <v>156625559</v>
      </c>
      <c r="P244" s="2">
        <v>6080</v>
      </c>
    </row>
    <row r="245" spans="1:16" x14ac:dyDescent="0.25">
      <c r="A245" s="1">
        <v>43365</v>
      </c>
      <c r="B245" s="2">
        <v>419300415.46100003</v>
      </c>
      <c r="C245" s="2">
        <v>419300415.46100003</v>
      </c>
      <c r="D245" s="2">
        <v>470309</v>
      </c>
      <c r="E245" s="2">
        <v>25259772083.099998</v>
      </c>
      <c r="F245" s="2">
        <v>247.34</v>
      </c>
      <c r="G245" s="2">
        <v>1921820000</v>
      </c>
      <c r="H245" s="2">
        <v>20321.53125</v>
      </c>
      <c r="I245" s="2">
        <v>419.37699286200001</v>
      </c>
      <c r="J245" s="2" t="s">
        <v>2433</v>
      </c>
      <c r="K245" s="2">
        <v>0.74202000000000001</v>
      </c>
      <c r="L245" s="2">
        <v>2.9663500000000001E-4</v>
      </c>
      <c r="M245" s="2">
        <v>3278089829630000</v>
      </c>
      <c r="N245" s="2">
        <v>220613</v>
      </c>
      <c r="O245" s="2">
        <v>151077283</v>
      </c>
      <c r="P245" s="2">
        <v>6038</v>
      </c>
    </row>
    <row r="246" spans="1:16" x14ac:dyDescent="0.25">
      <c r="A246" s="1">
        <v>43364</v>
      </c>
      <c r="B246" s="2">
        <v>758719577.65400004</v>
      </c>
      <c r="C246" s="2">
        <v>758719577.65400004</v>
      </c>
      <c r="D246" s="2">
        <v>544686</v>
      </c>
      <c r="E246" s="2">
        <v>22999618129.900002</v>
      </c>
      <c r="F246" s="2">
        <v>225.25</v>
      </c>
      <c r="G246" s="2">
        <v>2836200000</v>
      </c>
      <c r="H246" s="2">
        <v>20719.40625</v>
      </c>
      <c r="I246" s="2">
        <v>680.15269178799997</v>
      </c>
      <c r="J246" s="2" t="s">
        <v>2434</v>
      </c>
      <c r="K246" s="2">
        <v>2.7485962312500001</v>
      </c>
      <c r="L246" s="2">
        <v>4.2000000000000002E-4</v>
      </c>
      <c r="M246" s="2">
        <v>3112105439760000</v>
      </c>
      <c r="N246" s="2">
        <v>268053</v>
      </c>
      <c r="O246" s="2">
        <v>159668470</v>
      </c>
      <c r="P246" s="2">
        <v>6084</v>
      </c>
    </row>
    <row r="247" spans="1:16" x14ac:dyDescent="0.25">
      <c r="A247" s="1">
        <v>43363</v>
      </c>
      <c r="B247" s="2">
        <v>442538208.079</v>
      </c>
      <c r="C247" s="2">
        <v>442538208.079</v>
      </c>
      <c r="D247" s="2">
        <v>498146</v>
      </c>
      <c r="E247" s="2">
        <v>21467483356</v>
      </c>
      <c r="F247" s="2">
        <v>210.29</v>
      </c>
      <c r="G247" s="2">
        <v>1782070000</v>
      </c>
      <c r="H247" s="2">
        <v>20424.28125</v>
      </c>
      <c r="I247" s="2">
        <v>494.75731155199998</v>
      </c>
      <c r="J247" s="2" t="s">
        <v>2435</v>
      </c>
      <c r="K247" s="2">
        <v>1.03820177912</v>
      </c>
      <c r="L247" s="2">
        <v>3.7469949999999999E-4</v>
      </c>
      <c r="M247" s="2">
        <v>3176542287150000</v>
      </c>
      <c r="N247" s="2">
        <v>239757</v>
      </c>
      <c r="O247" s="2">
        <v>145802634</v>
      </c>
      <c r="P247" s="2">
        <v>6014</v>
      </c>
    </row>
    <row r="248" spans="1:16" x14ac:dyDescent="0.25">
      <c r="A248" s="1">
        <v>43362</v>
      </c>
      <c r="B248" s="2">
        <v>376565610.56800002</v>
      </c>
      <c r="C248" s="2">
        <v>376565610.56800002</v>
      </c>
      <c r="D248" s="2">
        <v>507255</v>
      </c>
      <c r="E248" s="2">
        <v>21379291461.400002</v>
      </c>
      <c r="F248" s="2">
        <v>209.47</v>
      </c>
      <c r="G248" s="2">
        <v>1733330000</v>
      </c>
      <c r="H248" s="2">
        <v>20548.875</v>
      </c>
      <c r="I248" s="2">
        <v>698.45980802199995</v>
      </c>
      <c r="J248" s="2" t="s">
        <v>2436</v>
      </c>
      <c r="K248" s="2">
        <v>0.83787999999999996</v>
      </c>
      <c r="L248" s="2">
        <v>4.3211200000000001E-4</v>
      </c>
      <c r="M248" s="2">
        <v>3170660093790000</v>
      </c>
      <c r="N248" s="2">
        <v>240308</v>
      </c>
      <c r="O248" s="2">
        <v>122608861</v>
      </c>
      <c r="P248" s="2">
        <v>6123</v>
      </c>
    </row>
    <row r="249" spans="1:16" x14ac:dyDescent="0.25">
      <c r="A249" s="1">
        <v>43361</v>
      </c>
      <c r="B249" s="2">
        <v>390605392.67699999</v>
      </c>
      <c r="C249" s="2">
        <v>390605392.67699999</v>
      </c>
      <c r="D249" s="2">
        <v>500513</v>
      </c>
      <c r="E249" s="2">
        <v>20112274007.799999</v>
      </c>
      <c r="F249" s="2">
        <v>197.09</v>
      </c>
      <c r="G249" s="2">
        <v>1800640000</v>
      </c>
      <c r="H249" s="2">
        <v>20181.65625</v>
      </c>
      <c r="I249" s="2">
        <v>543.07862634599996</v>
      </c>
      <c r="J249" s="2" t="s">
        <v>2437</v>
      </c>
      <c r="K249" s="2">
        <v>0.19708999999999999</v>
      </c>
      <c r="L249" s="2">
        <v>3.1729799999999998E-4</v>
      </c>
      <c r="M249" s="2">
        <v>3178891797120000</v>
      </c>
      <c r="N249" s="2">
        <v>224322</v>
      </c>
      <c r="O249" s="2">
        <v>156194415</v>
      </c>
      <c r="P249" s="2">
        <v>5967</v>
      </c>
    </row>
    <row r="250" spans="1:16" x14ac:dyDescent="0.25">
      <c r="A250" s="1">
        <v>43360</v>
      </c>
      <c r="B250" s="2">
        <v>476426237.98400003</v>
      </c>
      <c r="C250" s="2">
        <v>476426237.98400003</v>
      </c>
      <c r="D250" s="2">
        <v>553720</v>
      </c>
      <c r="E250" s="2">
        <v>22605798651</v>
      </c>
      <c r="F250" s="2">
        <v>221.58</v>
      </c>
      <c r="G250" s="2">
        <v>2019910000</v>
      </c>
      <c r="H250" s="2">
        <v>20476.3125</v>
      </c>
      <c r="I250" s="2">
        <v>442.14363248299998</v>
      </c>
      <c r="J250" s="2" t="s">
        <v>2438</v>
      </c>
      <c r="K250" s="2">
        <v>5.8694547780000002E-2</v>
      </c>
      <c r="L250" s="2">
        <v>2.8661600000000001E-4</v>
      </c>
      <c r="M250" s="2">
        <v>3140086572920000</v>
      </c>
      <c r="N250" s="2">
        <v>241181</v>
      </c>
      <c r="O250" s="2">
        <v>157588581</v>
      </c>
      <c r="P250" s="2">
        <v>6080</v>
      </c>
    </row>
    <row r="251" spans="1:16" x14ac:dyDescent="0.25">
      <c r="A251" s="1">
        <v>43359</v>
      </c>
      <c r="B251" s="2">
        <v>296969134.565</v>
      </c>
      <c r="C251" s="2">
        <v>296969134.565</v>
      </c>
      <c r="D251" s="2">
        <v>458432</v>
      </c>
      <c r="E251" s="2">
        <v>22726174343</v>
      </c>
      <c r="F251" s="2">
        <v>222.8</v>
      </c>
      <c r="G251" s="2">
        <v>1502260000</v>
      </c>
      <c r="H251" s="2">
        <v>20509.125</v>
      </c>
      <c r="I251" s="2">
        <v>370.19680749899999</v>
      </c>
      <c r="J251" s="2" t="s">
        <v>2439</v>
      </c>
      <c r="K251" s="2">
        <v>9.7751093760000005E-2</v>
      </c>
      <c r="L251" s="2">
        <v>2.5117500000000002E-4</v>
      </c>
      <c r="M251" s="2">
        <v>3129494677720000</v>
      </c>
      <c r="N251" s="2">
        <v>203708</v>
      </c>
      <c r="O251" s="2">
        <v>166179667</v>
      </c>
      <c r="P251" s="2">
        <v>6113</v>
      </c>
    </row>
    <row r="252" spans="1:16" x14ac:dyDescent="0.25">
      <c r="A252" s="1">
        <v>43358</v>
      </c>
      <c r="B252" s="2">
        <v>329441332.815</v>
      </c>
      <c r="C252" s="2">
        <v>329441332.815</v>
      </c>
      <c r="D252" s="2">
        <v>479695</v>
      </c>
      <c r="E252" s="2">
        <v>21397334937.099998</v>
      </c>
      <c r="F252" s="2">
        <v>209.81</v>
      </c>
      <c r="G252" s="2">
        <v>1670490000</v>
      </c>
      <c r="H252" s="2">
        <v>20437.03125</v>
      </c>
      <c r="I252" s="2">
        <v>385.383483216</v>
      </c>
      <c r="J252" s="2" t="s">
        <v>2440</v>
      </c>
      <c r="K252" s="2">
        <v>7.5531600000000004E-2</v>
      </c>
      <c r="L252" s="2">
        <v>2.801115E-4</v>
      </c>
      <c r="M252" s="2">
        <v>3146684914060000</v>
      </c>
      <c r="N252" s="2">
        <v>210294</v>
      </c>
      <c r="O252" s="2">
        <v>156163251</v>
      </c>
      <c r="P252" s="2">
        <v>6051</v>
      </c>
    </row>
    <row r="253" spans="1:16" x14ac:dyDescent="0.25">
      <c r="A253" s="1">
        <v>43357</v>
      </c>
      <c r="B253" s="2">
        <v>513766825.12400001</v>
      </c>
      <c r="C253" s="2">
        <v>513766825.12400001</v>
      </c>
      <c r="D253" s="2">
        <v>514394</v>
      </c>
      <c r="E253" s="2">
        <v>21684171660.200001</v>
      </c>
      <c r="F253" s="2">
        <v>212.67</v>
      </c>
      <c r="G253" s="2">
        <v>2232190000</v>
      </c>
      <c r="H253" s="2">
        <v>20431.96875</v>
      </c>
      <c r="I253" s="2">
        <v>392.43313793800002</v>
      </c>
      <c r="J253" s="2" t="s">
        <v>2441</v>
      </c>
      <c r="K253" s="2">
        <v>0.31900499999999998</v>
      </c>
      <c r="L253" s="2">
        <v>2.7712975000000002E-4</v>
      </c>
      <c r="M253" s="2">
        <v>3142743480650000</v>
      </c>
      <c r="N253" s="2">
        <v>242080</v>
      </c>
      <c r="O253" s="2">
        <v>159592770</v>
      </c>
      <c r="P253" s="2">
        <v>6066</v>
      </c>
    </row>
    <row r="254" spans="1:16" x14ac:dyDescent="0.25">
      <c r="A254" s="1">
        <v>43356</v>
      </c>
      <c r="B254" s="2">
        <v>494883932.35799998</v>
      </c>
      <c r="C254" s="2">
        <v>494883932.35799998</v>
      </c>
      <c r="D254" s="2">
        <v>555753</v>
      </c>
      <c r="E254" s="2">
        <v>18724996951.700001</v>
      </c>
      <c r="F254" s="2">
        <v>183.68</v>
      </c>
      <c r="G254" s="2">
        <v>2330720000</v>
      </c>
      <c r="H254" s="2">
        <v>20422.78125</v>
      </c>
      <c r="I254" s="2">
        <v>535.65526139400004</v>
      </c>
      <c r="J254" s="2" t="s">
        <v>2442</v>
      </c>
      <c r="K254" s="2">
        <v>0.36736000000000002</v>
      </c>
      <c r="L254" s="2">
        <v>3.47859E-4</v>
      </c>
      <c r="M254" s="2">
        <v>3049956018450000</v>
      </c>
      <c r="N254" s="2">
        <v>264723</v>
      </c>
      <c r="O254" s="2">
        <v>144342373</v>
      </c>
      <c r="P254" s="2">
        <v>6004</v>
      </c>
    </row>
    <row r="255" spans="1:16" x14ac:dyDescent="0.25">
      <c r="A255" s="1">
        <v>43355</v>
      </c>
      <c r="B255" s="2">
        <v>789882494.98800004</v>
      </c>
      <c r="C255" s="2">
        <v>789882494.98800004</v>
      </c>
      <c r="D255" s="2">
        <v>570673</v>
      </c>
      <c r="E255" s="2">
        <v>18898335891.900002</v>
      </c>
      <c r="F255" s="2">
        <v>185.42</v>
      </c>
      <c r="G255" s="2">
        <v>1874850000</v>
      </c>
      <c r="H255" s="2">
        <v>20403.1875</v>
      </c>
      <c r="I255" s="2">
        <v>519.58314642599998</v>
      </c>
      <c r="J255" s="2" t="s">
        <v>2443</v>
      </c>
      <c r="K255" s="2">
        <v>0.10708005</v>
      </c>
      <c r="L255" s="2">
        <v>3.2038200000000002E-4</v>
      </c>
      <c r="M255" s="2">
        <v>3133091795270000</v>
      </c>
      <c r="N255" s="2">
        <v>258961</v>
      </c>
      <c r="O255" s="2">
        <v>145832808</v>
      </c>
      <c r="P255" s="2">
        <v>6043</v>
      </c>
    </row>
    <row r="256" spans="1:16" x14ac:dyDescent="0.25">
      <c r="A256" s="1">
        <v>43354</v>
      </c>
      <c r="B256" s="2">
        <v>560128641.17400002</v>
      </c>
      <c r="C256" s="2">
        <v>560128641.17400002</v>
      </c>
      <c r="D256" s="2">
        <v>557317</v>
      </c>
      <c r="E256" s="2">
        <v>20194273183.200001</v>
      </c>
      <c r="F256" s="2">
        <v>198.18</v>
      </c>
      <c r="G256" s="2">
        <v>1568900000</v>
      </c>
      <c r="H256" s="2">
        <v>20245.125</v>
      </c>
      <c r="I256" s="2">
        <v>512.25452764500005</v>
      </c>
      <c r="J256" s="2" t="s">
        <v>2444</v>
      </c>
      <c r="K256" s="2">
        <v>0.13377149999999999</v>
      </c>
      <c r="L256" s="2">
        <v>2.9337187499999998E-4</v>
      </c>
      <c r="M256" s="2">
        <v>3197340149390000</v>
      </c>
      <c r="N256" s="2">
        <v>248044</v>
      </c>
      <c r="O256" s="2">
        <v>133946969</v>
      </c>
      <c r="P256" s="2">
        <v>6002</v>
      </c>
    </row>
    <row r="257" spans="1:16" x14ac:dyDescent="0.25">
      <c r="A257" s="1">
        <v>43353</v>
      </c>
      <c r="B257" s="2">
        <v>535396807.847</v>
      </c>
      <c r="C257" s="2">
        <v>535396807.847</v>
      </c>
      <c r="D257" s="2">
        <v>561611</v>
      </c>
      <c r="E257" s="2">
        <v>20156971637.099998</v>
      </c>
      <c r="F257" s="2">
        <v>197.85</v>
      </c>
      <c r="G257" s="2">
        <v>1502960000</v>
      </c>
      <c r="H257" s="2">
        <v>20436.75</v>
      </c>
      <c r="I257" s="2">
        <v>448.30958124099999</v>
      </c>
      <c r="J257" s="2" t="s">
        <v>2445</v>
      </c>
      <c r="K257" s="2">
        <v>0.28494477582099997</v>
      </c>
      <c r="L257" s="2">
        <v>2.52E-4</v>
      </c>
      <c r="M257" s="2">
        <v>3220980465070000</v>
      </c>
      <c r="N257" s="2">
        <v>260489</v>
      </c>
      <c r="O257" s="2">
        <v>141297601</v>
      </c>
      <c r="P257" s="2">
        <v>6007</v>
      </c>
    </row>
    <row r="258" spans="1:16" x14ac:dyDescent="0.25">
      <c r="A258" s="1">
        <v>43352</v>
      </c>
      <c r="B258" s="2">
        <v>474110238.48799998</v>
      </c>
      <c r="C258" s="2">
        <v>474110238.48799998</v>
      </c>
      <c r="D258" s="2">
        <v>565631</v>
      </c>
      <c r="E258" s="2">
        <v>20207427644.400002</v>
      </c>
      <c r="F258" s="2">
        <v>198.38</v>
      </c>
      <c r="G258" s="2">
        <v>1585980000</v>
      </c>
      <c r="H258" s="2">
        <v>20266.875</v>
      </c>
      <c r="I258" s="2">
        <v>433.078937123</v>
      </c>
      <c r="J258" s="2" t="s">
        <v>2446</v>
      </c>
      <c r="K258" s="2">
        <v>0</v>
      </c>
      <c r="L258" s="2">
        <v>2.6921600000000002E-4</v>
      </c>
      <c r="M258" s="2">
        <v>3209593043520000</v>
      </c>
      <c r="N258" s="2">
        <v>232806</v>
      </c>
      <c r="O258" s="2">
        <v>130475678</v>
      </c>
      <c r="P258" s="2">
        <v>5899</v>
      </c>
    </row>
    <row r="259" spans="1:16" x14ac:dyDescent="0.25">
      <c r="A259" s="1">
        <v>43351</v>
      </c>
      <c r="B259" s="2">
        <v>525261272.89700001</v>
      </c>
      <c r="C259" s="2">
        <v>525261272.89700001</v>
      </c>
      <c r="D259" s="2">
        <v>543337</v>
      </c>
      <c r="E259" s="2">
        <v>22192044628.700001</v>
      </c>
      <c r="F259" s="2">
        <v>217.91</v>
      </c>
      <c r="G259" s="2">
        <v>1517200000</v>
      </c>
      <c r="H259" s="2">
        <v>20289.75</v>
      </c>
      <c r="I259" s="2">
        <v>404.49548361799998</v>
      </c>
      <c r="J259" s="2" t="s">
        <v>2447</v>
      </c>
      <c r="K259" s="2">
        <v>0</v>
      </c>
      <c r="L259" s="2">
        <v>2.5954750000000001E-4</v>
      </c>
      <c r="M259" s="2">
        <v>3375919593400000</v>
      </c>
      <c r="N259" s="2">
        <v>225257</v>
      </c>
      <c r="O259" s="2">
        <v>149634966</v>
      </c>
      <c r="P259" s="2">
        <v>5936</v>
      </c>
    </row>
    <row r="260" spans="1:16" x14ac:dyDescent="0.25">
      <c r="A260" s="1">
        <v>43350</v>
      </c>
      <c r="B260" s="2">
        <v>651424458.88399994</v>
      </c>
      <c r="C260" s="2">
        <v>651424458.88399994</v>
      </c>
      <c r="D260" s="2">
        <v>582184</v>
      </c>
      <c r="E260" s="2">
        <v>23370975930.700001</v>
      </c>
      <c r="F260" s="2">
        <v>229.53</v>
      </c>
      <c r="G260" s="2">
        <v>1678260000</v>
      </c>
      <c r="H260" s="2">
        <v>20218.3125</v>
      </c>
      <c r="I260" s="2">
        <v>506.59950805699998</v>
      </c>
      <c r="J260" s="2" t="s">
        <v>2448</v>
      </c>
      <c r="K260" s="2">
        <v>0.15493275000000001</v>
      </c>
      <c r="L260" s="2">
        <v>2.6110499999999997E-4</v>
      </c>
      <c r="M260" s="2">
        <v>3399656455550000</v>
      </c>
      <c r="N260" s="2">
        <v>260736</v>
      </c>
      <c r="O260" s="2">
        <v>148491755</v>
      </c>
      <c r="P260" s="2">
        <v>5913</v>
      </c>
    </row>
    <row r="261" spans="1:16" x14ac:dyDescent="0.25">
      <c r="A261" s="1">
        <v>43349</v>
      </c>
      <c r="B261" s="2">
        <v>801291059.551</v>
      </c>
      <c r="C261" s="2">
        <v>801291059.551</v>
      </c>
      <c r="D261" s="2">
        <v>588959</v>
      </c>
      <c r="E261" s="2">
        <v>23581321840.799999</v>
      </c>
      <c r="F261" s="2">
        <v>231.65</v>
      </c>
      <c r="G261" s="2">
        <v>2097310000</v>
      </c>
      <c r="H261" s="2">
        <v>20565.75</v>
      </c>
      <c r="I261" s="2">
        <v>511.15883846600002</v>
      </c>
      <c r="J261" s="2" t="s">
        <v>2449</v>
      </c>
      <c r="K261" s="2">
        <v>1.8532</v>
      </c>
      <c r="L261" s="2">
        <v>2.5117500000000002E-4</v>
      </c>
      <c r="M261" s="2">
        <v>3399787826870000</v>
      </c>
      <c r="N261" s="2">
        <v>300386</v>
      </c>
      <c r="O261" s="2">
        <v>141998572</v>
      </c>
      <c r="P261" s="2">
        <v>6048</v>
      </c>
    </row>
    <row r="262" spans="1:16" x14ac:dyDescent="0.25">
      <c r="A262" s="1">
        <v>43348</v>
      </c>
      <c r="B262" s="2">
        <v>808425859.59000003</v>
      </c>
      <c r="C262" s="2">
        <v>808425859.59000003</v>
      </c>
      <c r="D262" s="2">
        <v>626957</v>
      </c>
      <c r="E262" s="2">
        <v>29113952769</v>
      </c>
      <c r="F262" s="2">
        <v>286.05</v>
      </c>
      <c r="G262" s="2">
        <v>2390390000</v>
      </c>
      <c r="H262" s="2">
        <v>20329.5</v>
      </c>
      <c r="I262" s="2">
        <v>362.38020984100001</v>
      </c>
      <c r="J262" s="2" t="s">
        <v>2450</v>
      </c>
      <c r="K262" s="2">
        <v>0.42907499999999998</v>
      </c>
      <c r="L262" s="2">
        <v>1.7533450000000001E-4</v>
      </c>
      <c r="M262" s="2">
        <v>3435482454950000</v>
      </c>
      <c r="N262" s="2">
        <v>296217</v>
      </c>
      <c r="O262" s="2">
        <v>151363404</v>
      </c>
      <c r="P262" s="2">
        <v>5956</v>
      </c>
    </row>
    <row r="263" spans="1:16" x14ac:dyDescent="0.25">
      <c r="A263" s="1">
        <v>43347</v>
      </c>
      <c r="B263" s="2">
        <v>1213582833.6800001</v>
      </c>
      <c r="C263" s="2">
        <v>1213582833.6800001</v>
      </c>
      <c r="D263" s="2">
        <v>589521</v>
      </c>
      <c r="E263" s="2">
        <v>29439042346.099998</v>
      </c>
      <c r="F263" s="2">
        <v>289.3</v>
      </c>
      <c r="G263" s="2">
        <v>1554870000</v>
      </c>
      <c r="H263" s="2">
        <v>20544.28125</v>
      </c>
      <c r="I263" s="2">
        <v>459.97845733999998</v>
      </c>
      <c r="J263" s="2" t="s">
        <v>2451</v>
      </c>
      <c r="K263" s="2">
        <v>0.31765371440000001</v>
      </c>
      <c r="L263" s="2">
        <v>2.0177724999999999E-4</v>
      </c>
      <c r="M263" s="2">
        <v>3394753992670000</v>
      </c>
      <c r="N263" s="2">
        <v>267488</v>
      </c>
      <c r="O263" s="2">
        <v>137784899</v>
      </c>
      <c r="P263" s="2">
        <v>5968</v>
      </c>
    </row>
    <row r="264" spans="1:16" x14ac:dyDescent="0.25">
      <c r="A264" s="1">
        <v>43346</v>
      </c>
      <c r="B264" s="2">
        <v>572187474.12899995</v>
      </c>
      <c r="C264" s="2">
        <v>572187474.12899995</v>
      </c>
      <c r="D264" s="2">
        <v>631429</v>
      </c>
      <c r="E264" s="2">
        <v>30030903466.900002</v>
      </c>
      <c r="F264" s="2">
        <v>295.18</v>
      </c>
      <c r="G264" s="2">
        <v>1394490000</v>
      </c>
      <c r="H264" s="2">
        <v>20327.53125</v>
      </c>
      <c r="I264" s="2">
        <v>372.26374220299999</v>
      </c>
      <c r="J264" s="2" t="s">
        <v>2452</v>
      </c>
      <c r="K264" s="2">
        <v>4.4276999999999997E-2</v>
      </c>
      <c r="L264" s="2">
        <v>1.47E-4</v>
      </c>
      <c r="M264" s="2">
        <v>3406537399010000</v>
      </c>
      <c r="N264" s="2">
        <v>287623</v>
      </c>
      <c r="O264" s="2">
        <v>147202668</v>
      </c>
      <c r="P264" s="2">
        <v>5887</v>
      </c>
    </row>
    <row r="265" spans="1:16" x14ac:dyDescent="0.25">
      <c r="A265" s="1">
        <v>43345</v>
      </c>
      <c r="B265" s="2">
        <v>296492996.87099999</v>
      </c>
      <c r="C265" s="2">
        <v>296492996.87099999</v>
      </c>
      <c r="D265" s="2">
        <v>620267</v>
      </c>
      <c r="E265" s="2">
        <v>30052573630.400002</v>
      </c>
      <c r="F265" s="2">
        <v>295.45</v>
      </c>
      <c r="G265" s="2">
        <v>1321050000</v>
      </c>
      <c r="H265" s="2">
        <v>20499.9375</v>
      </c>
      <c r="I265" s="2">
        <v>332.10188404799999</v>
      </c>
      <c r="J265" s="2" t="s">
        <v>2453</v>
      </c>
      <c r="K265" s="2">
        <v>0</v>
      </c>
      <c r="L265" s="2">
        <v>1.43034E-4</v>
      </c>
      <c r="M265" s="2">
        <v>3385920740770000</v>
      </c>
      <c r="N265" s="2">
        <v>261168</v>
      </c>
      <c r="O265" s="2">
        <v>138990835</v>
      </c>
      <c r="P265" s="2">
        <v>6027</v>
      </c>
    </row>
    <row r="266" spans="1:16" x14ac:dyDescent="0.25">
      <c r="A266" s="1">
        <v>43344</v>
      </c>
      <c r="B266" s="2">
        <v>352309286.08099997</v>
      </c>
      <c r="C266" s="2">
        <v>352309286.08099997</v>
      </c>
      <c r="D266" s="2">
        <v>656254</v>
      </c>
      <c r="E266" s="2">
        <v>28831229500.700001</v>
      </c>
      <c r="F266" s="2">
        <v>283.5</v>
      </c>
      <c r="G266" s="2">
        <v>1546630000</v>
      </c>
      <c r="H266" s="2">
        <v>20385.9375</v>
      </c>
      <c r="I266" s="2">
        <v>360.56352310099999</v>
      </c>
      <c r="J266" s="2" t="s">
        <v>2454</v>
      </c>
      <c r="K266" s="2">
        <v>0</v>
      </c>
      <c r="L266" s="2">
        <v>1.6799999999999999E-4</v>
      </c>
      <c r="M266" s="2">
        <v>3427218779350000</v>
      </c>
      <c r="N266" s="2">
        <v>279066</v>
      </c>
      <c r="O266" s="2">
        <v>139635900</v>
      </c>
      <c r="P266" s="2">
        <v>5880</v>
      </c>
    </row>
    <row r="267" spans="1:16" x14ac:dyDescent="0.25">
      <c r="A267" s="1">
        <v>43343</v>
      </c>
      <c r="B267" s="2">
        <v>483698474.16399997</v>
      </c>
      <c r="C267" s="2">
        <v>483698474.16399997</v>
      </c>
      <c r="D267" s="2">
        <v>577258</v>
      </c>
      <c r="E267" s="2">
        <v>28888802060</v>
      </c>
      <c r="F267" s="2">
        <v>284.12</v>
      </c>
      <c r="G267" s="2">
        <v>1411910000</v>
      </c>
      <c r="H267" s="2">
        <v>20430.9375</v>
      </c>
      <c r="I267" s="2">
        <v>447.89205573700002</v>
      </c>
      <c r="J267" s="2" t="s">
        <v>2455</v>
      </c>
      <c r="K267" s="2">
        <v>0.19888400000000001</v>
      </c>
      <c r="L267" s="2">
        <v>2.1793140000000001E-4</v>
      </c>
      <c r="M267" s="2">
        <v>3465883560590000</v>
      </c>
      <c r="N267" s="2">
        <v>260138</v>
      </c>
      <c r="O267" s="2">
        <v>131668077</v>
      </c>
      <c r="P267" s="2">
        <v>5953</v>
      </c>
    </row>
    <row r="268" spans="1:16" x14ac:dyDescent="0.25">
      <c r="A268" s="1">
        <v>43342</v>
      </c>
      <c r="B268" s="2">
        <v>457868590.49599999</v>
      </c>
      <c r="C268" s="2">
        <v>457868590.49599999</v>
      </c>
      <c r="D268" s="2">
        <v>592847</v>
      </c>
      <c r="E268" s="2">
        <v>29454389491.299999</v>
      </c>
      <c r="F268" s="2">
        <v>289.75</v>
      </c>
      <c r="G268" s="2">
        <v>1513100000</v>
      </c>
      <c r="H268" s="2">
        <v>20488.40625</v>
      </c>
      <c r="I268" s="2">
        <v>441.39124948599999</v>
      </c>
      <c r="J268" s="2" t="s">
        <v>2456</v>
      </c>
      <c r="K268" s="2">
        <v>2.8975000000000001E-2</v>
      </c>
      <c r="L268" s="2">
        <v>1.9855E-4</v>
      </c>
      <c r="M268" s="2">
        <v>3432294223010000</v>
      </c>
      <c r="N268" s="2">
        <v>257030</v>
      </c>
      <c r="O268" s="2">
        <v>139877930</v>
      </c>
      <c r="P268" s="2">
        <v>5910</v>
      </c>
    </row>
    <row r="269" spans="1:16" x14ac:dyDescent="0.25">
      <c r="A269" s="1">
        <v>43341</v>
      </c>
      <c r="B269" s="2">
        <v>501284558.51700002</v>
      </c>
      <c r="C269" s="2">
        <v>501284558.51700002</v>
      </c>
      <c r="D269" s="2">
        <v>546841</v>
      </c>
      <c r="E269" s="2">
        <v>30100669842.599998</v>
      </c>
      <c r="F269" s="2">
        <v>296.16000000000003</v>
      </c>
      <c r="G269" s="2">
        <v>1474460000</v>
      </c>
      <c r="H269" s="2">
        <v>20270.25</v>
      </c>
      <c r="I269" s="2">
        <v>530.74466246500003</v>
      </c>
      <c r="J269" s="2" t="s">
        <v>2457</v>
      </c>
      <c r="K269" s="2">
        <v>8.7071040000000002E-2</v>
      </c>
      <c r="L269" s="2">
        <v>2.2844400000000001E-4</v>
      </c>
      <c r="M269" s="2">
        <v>3456093007050000</v>
      </c>
      <c r="N269" s="2">
        <v>238511</v>
      </c>
      <c r="O269" s="2">
        <v>144609036</v>
      </c>
      <c r="P269" s="2">
        <v>5890</v>
      </c>
    </row>
    <row r="270" spans="1:16" x14ac:dyDescent="0.25">
      <c r="A270" s="1">
        <v>43340</v>
      </c>
      <c r="B270" s="2">
        <v>465842901.278</v>
      </c>
      <c r="C270" s="2">
        <v>465842901.278</v>
      </c>
      <c r="D270" s="2">
        <v>613844</v>
      </c>
      <c r="E270" s="2">
        <v>29127993345.299999</v>
      </c>
      <c r="F270" s="2">
        <v>286.64999999999998</v>
      </c>
      <c r="G270" s="2">
        <v>1513350000</v>
      </c>
      <c r="H270" s="2">
        <v>20388.09375</v>
      </c>
      <c r="I270" s="2">
        <v>380.62038228599999</v>
      </c>
      <c r="J270" s="2" t="s">
        <v>2458</v>
      </c>
      <c r="K270" s="2">
        <v>0.28665000000000002</v>
      </c>
      <c r="L270" s="2">
        <v>1.7438305999999999E-4</v>
      </c>
      <c r="M270" s="2">
        <v>3491155016920000</v>
      </c>
      <c r="N270" s="2">
        <v>287051</v>
      </c>
      <c r="O270" s="2">
        <v>153252282</v>
      </c>
      <c r="P270" s="2">
        <v>5898</v>
      </c>
    </row>
    <row r="271" spans="1:16" x14ac:dyDescent="0.25">
      <c r="A271" s="1">
        <v>43339</v>
      </c>
      <c r="B271" s="2">
        <v>519112787.43000001</v>
      </c>
      <c r="C271" s="2">
        <v>519112787.43000001</v>
      </c>
      <c r="D271" s="2">
        <v>645935</v>
      </c>
      <c r="E271" s="2">
        <v>27974513889.799999</v>
      </c>
      <c r="F271" s="2">
        <v>275.35000000000002</v>
      </c>
      <c r="G271" s="2">
        <v>1406790000</v>
      </c>
      <c r="H271" s="2">
        <v>20543.4375</v>
      </c>
      <c r="I271" s="2">
        <v>376.45358552499999</v>
      </c>
      <c r="J271" s="2" t="s">
        <v>2459</v>
      </c>
      <c r="K271" s="2">
        <v>0</v>
      </c>
      <c r="L271" s="2">
        <v>1.7355659999999999E-4</v>
      </c>
      <c r="M271" s="2">
        <v>3495419983630000</v>
      </c>
      <c r="N271" s="2">
        <v>271235</v>
      </c>
      <c r="O271" s="2">
        <v>147734568</v>
      </c>
      <c r="P271" s="2">
        <v>5942</v>
      </c>
    </row>
    <row r="272" spans="1:16" x14ac:dyDescent="0.25">
      <c r="A272" s="1">
        <v>43338</v>
      </c>
      <c r="B272" s="2">
        <v>300925819.62300003</v>
      </c>
      <c r="C272" s="2">
        <v>300925819.62300003</v>
      </c>
      <c r="D272" s="2">
        <v>574072</v>
      </c>
      <c r="E272" s="2">
        <v>28391826545.200001</v>
      </c>
      <c r="F272" s="2">
        <v>279.52</v>
      </c>
      <c r="G272" s="2">
        <v>1206650000</v>
      </c>
      <c r="H272" s="2">
        <v>20420.625</v>
      </c>
      <c r="I272" s="2">
        <v>950.62276408299999</v>
      </c>
      <c r="J272" s="2" t="s">
        <v>2460</v>
      </c>
      <c r="K272" s="2">
        <v>4.1928E-2</v>
      </c>
      <c r="L272" s="2">
        <v>1.283364E-4</v>
      </c>
      <c r="M272" s="2">
        <v>3569733749330000</v>
      </c>
      <c r="N272" s="2">
        <v>258487</v>
      </c>
      <c r="O272" s="2">
        <v>143877724</v>
      </c>
      <c r="P272" s="2">
        <v>5947</v>
      </c>
    </row>
    <row r="273" spans="1:16" x14ac:dyDescent="0.25">
      <c r="A273" s="1">
        <v>43337</v>
      </c>
      <c r="B273" s="2">
        <v>326918049.435</v>
      </c>
      <c r="C273" s="2">
        <v>326918049.435</v>
      </c>
      <c r="D273" s="2">
        <v>577239</v>
      </c>
      <c r="E273" s="2">
        <v>28767849228.799999</v>
      </c>
      <c r="F273" s="2">
        <v>283.27999999999997</v>
      </c>
      <c r="G273" s="2">
        <v>1208360000</v>
      </c>
      <c r="H273" s="2">
        <v>20423.25</v>
      </c>
      <c r="I273" s="2">
        <v>333.52051676000002</v>
      </c>
      <c r="J273" s="2" t="s">
        <v>2461</v>
      </c>
      <c r="K273" s="2">
        <v>7.4785920000000006E-2</v>
      </c>
      <c r="L273" s="2">
        <v>1.1443067999999999E-4</v>
      </c>
      <c r="M273" s="2">
        <v>3500504985180000</v>
      </c>
      <c r="N273" s="2">
        <v>259547</v>
      </c>
      <c r="O273" s="2">
        <v>147774706</v>
      </c>
      <c r="P273" s="2">
        <v>5926</v>
      </c>
    </row>
    <row r="274" spans="1:16" x14ac:dyDescent="0.25">
      <c r="A274" s="1">
        <v>43336</v>
      </c>
      <c r="B274" s="2">
        <v>432988625.12699997</v>
      </c>
      <c r="C274" s="2">
        <v>432988625.12699997</v>
      </c>
      <c r="D274" s="2">
        <v>596227</v>
      </c>
      <c r="E274" s="2">
        <v>28237256474.599998</v>
      </c>
      <c r="F274" s="2">
        <v>278.11</v>
      </c>
      <c r="G274" s="2">
        <v>1450170000</v>
      </c>
      <c r="H274" s="2">
        <v>20734.03125</v>
      </c>
      <c r="I274" s="2">
        <v>1055.9635569699999</v>
      </c>
      <c r="J274" s="2" t="s">
        <v>2462</v>
      </c>
      <c r="K274" s="2">
        <v>0.16686599999999999</v>
      </c>
      <c r="L274" s="2">
        <v>2.1069360000000001E-4</v>
      </c>
      <c r="M274" s="2">
        <v>3431231393130000</v>
      </c>
      <c r="N274" s="2">
        <v>257054</v>
      </c>
      <c r="O274" s="2">
        <v>135916665</v>
      </c>
      <c r="P274" s="2">
        <v>5946</v>
      </c>
    </row>
    <row r="275" spans="1:16" x14ac:dyDescent="0.25">
      <c r="A275" s="1">
        <v>43335</v>
      </c>
      <c r="B275" s="2">
        <v>466815394.89300001</v>
      </c>
      <c r="C275" s="2">
        <v>466815394.89300001</v>
      </c>
      <c r="D275" s="2">
        <v>599557</v>
      </c>
      <c r="E275" s="2">
        <v>27586560191.099998</v>
      </c>
      <c r="F275" s="2">
        <v>271.75</v>
      </c>
      <c r="G275" s="2">
        <v>1271160000</v>
      </c>
      <c r="H275" s="2">
        <v>20343.84375</v>
      </c>
      <c r="I275" s="2">
        <v>599.90899780899997</v>
      </c>
      <c r="J275" s="2" t="s">
        <v>2463</v>
      </c>
      <c r="K275" s="2">
        <v>5.70675E-2</v>
      </c>
      <c r="L275" s="2">
        <v>1.6799999999999999E-4</v>
      </c>
      <c r="M275" s="2">
        <v>3451970551530000</v>
      </c>
      <c r="N275" s="2">
        <v>263137</v>
      </c>
      <c r="O275" s="2">
        <v>142271749</v>
      </c>
      <c r="P275" s="2">
        <v>5853</v>
      </c>
    </row>
    <row r="276" spans="1:16" x14ac:dyDescent="0.25">
      <c r="A276" s="1">
        <v>43334</v>
      </c>
      <c r="B276" s="2">
        <v>548992832.63199997</v>
      </c>
      <c r="C276" s="2">
        <v>548992832.63199997</v>
      </c>
      <c r="D276" s="2">
        <v>594918</v>
      </c>
      <c r="E276" s="2">
        <v>28617990623.900002</v>
      </c>
      <c r="F276" s="2">
        <v>281.97000000000003</v>
      </c>
      <c r="G276" s="2">
        <v>1507660000</v>
      </c>
      <c r="H276" s="2">
        <v>20301.375</v>
      </c>
      <c r="I276" s="2">
        <v>891.34647641399999</v>
      </c>
      <c r="J276" s="2" t="s">
        <v>2464</v>
      </c>
      <c r="K276" s="2">
        <v>0</v>
      </c>
      <c r="L276" s="2">
        <v>2.0704400000000001E-4</v>
      </c>
      <c r="M276" s="2">
        <v>3593968613110000</v>
      </c>
      <c r="N276" s="2">
        <v>248217</v>
      </c>
      <c r="O276" s="2">
        <v>135197700</v>
      </c>
      <c r="P276" s="2">
        <v>5922</v>
      </c>
    </row>
    <row r="277" spans="1:16" x14ac:dyDescent="0.25">
      <c r="A277" s="1">
        <v>43333</v>
      </c>
      <c r="B277" s="2">
        <v>442153907.38099998</v>
      </c>
      <c r="C277" s="2">
        <v>442153907.38099998</v>
      </c>
      <c r="D277" s="2">
        <v>605639</v>
      </c>
      <c r="E277" s="2">
        <v>27735841656.099998</v>
      </c>
      <c r="F277" s="2">
        <v>273.33</v>
      </c>
      <c r="G277" s="2">
        <v>1164120000</v>
      </c>
      <c r="H277" s="2">
        <v>20493.28125</v>
      </c>
      <c r="I277" s="2">
        <v>377.618559441</v>
      </c>
      <c r="J277" s="2" t="s">
        <v>2465</v>
      </c>
      <c r="K277" s="2">
        <v>0</v>
      </c>
      <c r="L277" s="2">
        <v>1.5870599999999999E-4</v>
      </c>
      <c r="M277" s="2">
        <v>3516086407210000</v>
      </c>
      <c r="N277" s="2">
        <v>251340</v>
      </c>
      <c r="O277" s="2">
        <v>150507287</v>
      </c>
      <c r="P277" s="2">
        <v>5961</v>
      </c>
    </row>
    <row r="278" spans="1:16" x14ac:dyDescent="0.25">
      <c r="A278" s="1">
        <v>43332</v>
      </c>
      <c r="B278" s="2">
        <v>485539956.54500002</v>
      </c>
      <c r="C278" s="2">
        <v>485539956.54500002</v>
      </c>
      <c r="D278" s="2">
        <v>663769</v>
      </c>
      <c r="E278" s="2">
        <v>30576127954.200001</v>
      </c>
      <c r="F278" s="2">
        <v>301.38</v>
      </c>
      <c r="G278" s="2">
        <v>1413790000</v>
      </c>
      <c r="H278" s="2">
        <v>20446.21875</v>
      </c>
      <c r="I278" s="2">
        <v>406.41021850499999</v>
      </c>
      <c r="J278" s="2" t="s">
        <v>2466</v>
      </c>
      <c r="K278" s="2">
        <v>0</v>
      </c>
      <c r="L278" s="2">
        <v>1.071E-4</v>
      </c>
      <c r="M278" s="2">
        <v>3494743123830000</v>
      </c>
      <c r="N278" s="2">
        <v>282689</v>
      </c>
      <c r="O278" s="2">
        <v>149092855</v>
      </c>
      <c r="P278" s="2">
        <v>5932</v>
      </c>
    </row>
    <row r="279" spans="1:16" x14ac:dyDescent="0.25">
      <c r="A279" s="1">
        <v>43331</v>
      </c>
      <c r="B279" s="2">
        <v>271725363.57200003</v>
      </c>
      <c r="C279" s="2">
        <v>271725363.57200003</v>
      </c>
      <c r="D279" s="2">
        <v>599660</v>
      </c>
      <c r="E279" s="2">
        <v>29990632585.200001</v>
      </c>
      <c r="F279" s="2">
        <v>295.67</v>
      </c>
      <c r="G279" s="2">
        <v>1447910000</v>
      </c>
      <c r="H279" s="2">
        <v>20455.6875</v>
      </c>
      <c r="I279" s="2">
        <v>394.17871009599997</v>
      </c>
      <c r="J279" s="2" t="s">
        <v>2467</v>
      </c>
      <c r="K279" s="2">
        <v>0</v>
      </c>
      <c r="L279" s="2">
        <v>1.05E-4</v>
      </c>
      <c r="M279" s="2">
        <v>3468867131970000</v>
      </c>
      <c r="N279" s="2">
        <v>225425</v>
      </c>
      <c r="O279" s="2">
        <v>130550756</v>
      </c>
      <c r="P279" s="2">
        <v>5930</v>
      </c>
    </row>
    <row r="280" spans="1:16" x14ac:dyDescent="0.25">
      <c r="A280" s="1">
        <v>43330</v>
      </c>
      <c r="B280" s="2">
        <v>388610469.81099999</v>
      </c>
      <c r="C280" s="2">
        <v>388610469.81099999</v>
      </c>
      <c r="D280" s="2">
        <v>627522</v>
      </c>
      <c r="E280" s="2">
        <v>32126201599.900002</v>
      </c>
      <c r="F280" s="2">
        <v>316.79000000000002</v>
      </c>
      <c r="G280" s="2">
        <v>1764020000</v>
      </c>
      <c r="H280" s="2">
        <v>20471.34375</v>
      </c>
      <c r="I280" s="2">
        <v>441.95322347699999</v>
      </c>
      <c r="J280" s="2" t="s">
        <v>2468</v>
      </c>
      <c r="K280" s="2">
        <v>0</v>
      </c>
      <c r="L280" s="2">
        <v>2.07145E-4</v>
      </c>
      <c r="M280" s="2">
        <v>3441651450520000</v>
      </c>
      <c r="N280" s="2">
        <v>232833</v>
      </c>
      <c r="O280" s="2">
        <v>132440767</v>
      </c>
      <c r="P280" s="2">
        <v>5883</v>
      </c>
    </row>
    <row r="281" spans="1:16" x14ac:dyDescent="0.25">
      <c r="A281" s="1">
        <v>43329</v>
      </c>
      <c r="B281" s="2">
        <v>597131419.27999997</v>
      </c>
      <c r="C281" s="2">
        <v>597131419.27999997</v>
      </c>
      <c r="D281" s="2">
        <v>607270</v>
      </c>
      <c r="E281" s="2">
        <v>29167926756.099998</v>
      </c>
      <c r="F281" s="2">
        <v>287.68</v>
      </c>
      <c r="G281" s="2">
        <v>1995460000</v>
      </c>
      <c r="H281" s="2">
        <v>20502.65625</v>
      </c>
      <c r="I281" s="2">
        <v>1935.16300761</v>
      </c>
      <c r="J281" s="2" t="s">
        <v>2469</v>
      </c>
      <c r="K281" s="2">
        <v>6.2668442257999999</v>
      </c>
      <c r="L281" s="2">
        <v>7.8952500000000001E-4</v>
      </c>
      <c r="M281" s="2">
        <v>3483034391220000</v>
      </c>
      <c r="N281" s="2">
        <v>282401</v>
      </c>
      <c r="O281" s="2">
        <v>119799727</v>
      </c>
      <c r="P281" s="2">
        <v>5840</v>
      </c>
    </row>
    <row r="282" spans="1:16" x14ac:dyDescent="0.25">
      <c r="A282" s="1">
        <v>43328</v>
      </c>
      <c r="B282" s="2">
        <v>482339824.10699999</v>
      </c>
      <c r="C282" s="2">
        <v>482339824.10699999</v>
      </c>
      <c r="D282" s="2">
        <v>716732</v>
      </c>
      <c r="E282" s="2">
        <v>28660961317</v>
      </c>
      <c r="F282" s="2">
        <v>282.74</v>
      </c>
      <c r="G282" s="2">
        <v>1552970000</v>
      </c>
      <c r="H282" s="2">
        <v>20427.65625</v>
      </c>
      <c r="I282" s="2">
        <v>524.78520127299998</v>
      </c>
      <c r="J282" s="2" t="s">
        <v>2470</v>
      </c>
      <c r="K282" s="2">
        <v>0</v>
      </c>
      <c r="L282" s="2">
        <v>2.0731800000000001E-4</v>
      </c>
      <c r="M282" s="2">
        <v>3436675235700000</v>
      </c>
      <c r="N282" s="2">
        <v>292714</v>
      </c>
      <c r="O282" s="2">
        <v>132630688</v>
      </c>
      <c r="P282" s="2">
        <v>5940</v>
      </c>
    </row>
    <row r="283" spans="1:16" x14ac:dyDescent="0.25">
      <c r="A283" s="1">
        <v>43327</v>
      </c>
      <c r="B283" s="2">
        <v>727863240.31500006</v>
      </c>
      <c r="C283" s="2">
        <v>727863240.31500006</v>
      </c>
      <c r="D283" s="2">
        <v>648565</v>
      </c>
      <c r="E283" s="2">
        <v>28417811612.799999</v>
      </c>
      <c r="F283" s="2">
        <v>280.39</v>
      </c>
      <c r="G283" s="2">
        <v>1878150000</v>
      </c>
      <c r="H283" s="2">
        <v>20347.3125</v>
      </c>
      <c r="I283" s="2">
        <v>590.09259006399998</v>
      </c>
      <c r="J283" s="2" t="s">
        <v>2471</v>
      </c>
      <c r="K283" s="2">
        <v>0</v>
      </c>
      <c r="L283" s="2">
        <v>3.16476E-4</v>
      </c>
      <c r="M283" s="2">
        <v>3506907055100000</v>
      </c>
      <c r="N283" s="2">
        <v>280616</v>
      </c>
      <c r="O283" s="2">
        <v>117898133</v>
      </c>
      <c r="P283" s="2">
        <v>5965</v>
      </c>
    </row>
    <row r="284" spans="1:16" x14ac:dyDescent="0.25">
      <c r="A284" s="1">
        <v>43326</v>
      </c>
      <c r="B284" s="2">
        <v>1038207240.17</v>
      </c>
      <c r="C284" s="2">
        <v>1038207240.17</v>
      </c>
      <c r="D284" s="2">
        <v>690348</v>
      </c>
      <c r="E284" s="2">
        <v>29017864124.799999</v>
      </c>
      <c r="F284" s="2">
        <v>286.37</v>
      </c>
      <c r="G284" s="2">
        <v>2137850000</v>
      </c>
      <c r="H284" s="2">
        <v>20333.625</v>
      </c>
      <c r="I284" s="2">
        <v>599.40778240700001</v>
      </c>
      <c r="J284" s="2" t="s">
        <v>2472</v>
      </c>
      <c r="K284" s="2">
        <v>5.1546599999999998E-2</v>
      </c>
      <c r="L284" s="2">
        <v>2.4280250000000001E-4</v>
      </c>
      <c r="M284" s="2">
        <v>3545297260990000</v>
      </c>
      <c r="N284" s="2">
        <v>307473</v>
      </c>
      <c r="O284" s="2">
        <v>130121230</v>
      </c>
      <c r="P284" s="2">
        <v>5952</v>
      </c>
    </row>
    <row r="285" spans="1:16" x14ac:dyDescent="0.25">
      <c r="A285" s="1">
        <v>43325</v>
      </c>
      <c r="B285" s="2">
        <v>928446032.20099998</v>
      </c>
      <c r="C285" s="2">
        <v>928446032.20099998</v>
      </c>
      <c r="D285" s="2">
        <v>694941</v>
      </c>
      <c r="E285" s="2">
        <v>32439553591.5</v>
      </c>
      <c r="F285" s="2">
        <v>320.20999999999998</v>
      </c>
      <c r="G285" s="2">
        <v>1751190000</v>
      </c>
      <c r="H285" s="2">
        <v>20398.78125</v>
      </c>
      <c r="I285" s="2">
        <v>526.72199678499999</v>
      </c>
      <c r="J285" s="2" t="s">
        <v>2473</v>
      </c>
      <c r="K285" s="2">
        <v>0</v>
      </c>
      <c r="L285" s="2">
        <v>2.00940000083E-4</v>
      </c>
      <c r="M285" s="2">
        <v>3500412716720000</v>
      </c>
      <c r="N285" s="2">
        <v>296171</v>
      </c>
      <c r="O285" s="2">
        <v>128911834</v>
      </c>
      <c r="P285" s="2">
        <v>5872</v>
      </c>
    </row>
    <row r="286" spans="1:16" x14ac:dyDescent="0.25">
      <c r="A286" s="1">
        <v>43324</v>
      </c>
      <c r="B286" s="2">
        <v>362529802.06699997</v>
      </c>
      <c r="C286" s="2">
        <v>362529802.06699997</v>
      </c>
      <c r="D286" s="2">
        <v>641927</v>
      </c>
      <c r="E286" s="2">
        <v>32495378966.299999</v>
      </c>
      <c r="F286" s="2">
        <v>320.82</v>
      </c>
      <c r="G286" s="2">
        <v>1625420000</v>
      </c>
      <c r="H286" s="2">
        <v>20352.375</v>
      </c>
      <c r="I286" s="2">
        <v>362.47777972699998</v>
      </c>
      <c r="J286" s="2" t="s">
        <v>2474</v>
      </c>
      <c r="K286" s="2">
        <v>0</v>
      </c>
      <c r="L286" s="2">
        <v>1.8503224999999999E-4</v>
      </c>
      <c r="M286" s="2">
        <v>3490940924870000</v>
      </c>
      <c r="N286" s="2">
        <v>262497</v>
      </c>
      <c r="O286" s="2">
        <v>115265909</v>
      </c>
      <c r="P286" s="2">
        <v>5835</v>
      </c>
    </row>
    <row r="287" spans="1:16" x14ac:dyDescent="0.25">
      <c r="A287" s="1">
        <v>43323</v>
      </c>
      <c r="B287" s="2">
        <v>631800634.85699999</v>
      </c>
      <c r="C287" s="2">
        <v>631800634.85699999</v>
      </c>
      <c r="D287" s="2">
        <v>657312</v>
      </c>
      <c r="E287" s="2">
        <v>33850096896.900002</v>
      </c>
      <c r="F287" s="2">
        <v>334.26</v>
      </c>
      <c r="G287" s="2">
        <v>1790370000</v>
      </c>
      <c r="H287" s="2">
        <v>20636.625</v>
      </c>
      <c r="I287" s="2">
        <v>507.30814949199998</v>
      </c>
      <c r="J287" s="2" t="s">
        <v>2475</v>
      </c>
      <c r="K287" s="2">
        <v>0</v>
      </c>
      <c r="L287" s="2">
        <v>2.5139999999999999E-4</v>
      </c>
      <c r="M287" s="2">
        <v>3553788514170000</v>
      </c>
      <c r="N287" s="2">
        <v>278297</v>
      </c>
      <c r="O287" s="2">
        <v>120592145</v>
      </c>
      <c r="P287" s="2">
        <v>5945</v>
      </c>
    </row>
    <row r="288" spans="1:16" x14ac:dyDescent="0.25">
      <c r="A288" s="1">
        <v>43322</v>
      </c>
      <c r="B288" s="2">
        <v>753416126.347</v>
      </c>
      <c r="C288" s="2">
        <v>753416126.347</v>
      </c>
      <c r="D288" s="2">
        <v>613892</v>
      </c>
      <c r="E288" s="2">
        <v>37033867846.5</v>
      </c>
      <c r="F288" s="2">
        <v>365.78</v>
      </c>
      <c r="G288" s="2">
        <v>1699400000</v>
      </c>
      <c r="H288" s="2">
        <v>20444.625</v>
      </c>
      <c r="I288" s="2">
        <v>1520.5998261899999</v>
      </c>
      <c r="J288" s="2" t="s">
        <v>2476</v>
      </c>
      <c r="K288" s="2">
        <v>7.9155434230399999</v>
      </c>
      <c r="L288" s="2">
        <v>8.61E-4</v>
      </c>
      <c r="M288" s="2">
        <v>3582381034000000</v>
      </c>
      <c r="N288" s="2">
        <v>287151</v>
      </c>
      <c r="O288" s="2">
        <v>110198409</v>
      </c>
      <c r="P288" s="2">
        <v>5926</v>
      </c>
    </row>
    <row r="289" spans="1:16" x14ac:dyDescent="0.25">
      <c r="A289" s="1">
        <v>43321</v>
      </c>
      <c r="B289" s="2">
        <v>638476712.18099999</v>
      </c>
      <c r="C289" s="2">
        <v>638476712.18099999</v>
      </c>
      <c r="D289" s="2">
        <v>538530</v>
      </c>
      <c r="E289" s="2">
        <v>36134818721.300003</v>
      </c>
      <c r="F289" s="2">
        <v>356.97</v>
      </c>
      <c r="G289" s="2">
        <v>1616610000</v>
      </c>
      <c r="H289" s="2">
        <v>20526.75</v>
      </c>
      <c r="I289" s="2">
        <v>2484.60865878</v>
      </c>
      <c r="J289" s="2" t="s">
        <v>2477</v>
      </c>
      <c r="K289" s="2">
        <v>17.889460988700002</v>
      </c>
      <c r="L289" s="2">
        <v>1.52276E-3</v>
      </c>
      <c r="M289" s="2">
        <v>3606036188510000</v>
      </c>
      <c r="N289" s="2">
        <v>267817</v>
      </c>
      <c r="O289" s="2">
        <v>92170358</v>
      </c>
      <c r="P289" s="2">
        <v>5930</v>
      </c>
    </row>
    <row r="290" spans="1:16" x14ac:dyDescent="0.25">
      <c r="A290" s="1">
        <v>43320</v>
      </c>
      <c r="B290" s="2">
        <v>897335030.12199998</v>
      </c>
      <c r="C290" s="2">
        <v>897335030.12199998</v>
      </c>
      <c r="D290" s="2">
        <v>565663</v>
      </c>
      <c r="E290" s="2">
        <v>38447674804.5</v>
      </c>
      <c r="F290" s="2">
        <v>379.89</v>
      </c>
      <c r="G290" s="2">
        <v>2016080000</v>
      </c>
      <c r="H290" s="2">
        <v>20559</v>
      </c>
      <c r="I290" s="2">
        <v>2878.0163851699999</v>
      </c>
      <c r="J290" s="2" t="s">
        <v>2478</v>
      </c>
      <c r="K290" s="2">
        <v>23.211279000000001</v>
      </c>
      <c r="L290" s="2">
        <v>1.6379999999999999E-3</v>
      </c>
      <c r="M290" s="2">
        <v>3591200843800000</v>
      </c>
      <c r="N290" s="2">
        <v>284864</v>
      </c>
      <c r="O290" s="2">
        <v>96877164</v>
      </c>
      <c r="P290" s="2">
        <v>5957</v>
      </c>
    </row>
    <row r="291" spans="1:16" x14ac:dyDescent="0.25">
      <c r="A291" s="1">
        <v>43319</v>
      </c>
      <c r="B291" s="2">
        <v>623363505.85699999</v>
      </c>
      <c r="C291" s="2">
        <v>623363505.85699999</v>
      </c>
      <c r="D291" s="2">
        <v>636342</v>
      </c>
      <c r="E291" s="2">
        <v>41162990323.199997</v>
      </c>
      <c r="F291" s="2">
        <v>406.8</v>
      </c>
      <c r="G291" s="2">
        <v>1828350000</v>
      </c>
      <c r="H291" s="2">
        <v>20398.3125</v>
      </c>
      <c r="I291" s="2">
        <v>1344.3269746200001</v>
      </c>
      <c r="J291" s="2" t="s">
        <v>2479</v>
      </c>
      <c r="K291" s="2">
        <v>2.4407999999999999</v>
      </c>
      <c r="L291" s="2">
        <v>3.8020244999999999E-4</v>
      </c>
      <c r="M291" s="2">
        <v>3566361553130000</v>
      </c>
      <c r="N291" s="2">
        <v>276781</v>
      </c>
      <c r="O291" s="2">
        <v>116345405</v>
      </c>
      <c r="P291" s="2">
        <v>5875</v>
      </c>
    </row>
    <row r="292" spans="1:16" x14ac:dyDescent="0.25">
      <c r="A292" s="1">
        <v>43318</v>
      </c>
      <c r="B292" s="2">
        <v>545537328.53299999</v>
      </c>
      <c r="C292" s="2">
        <v>545537328.53299999</v>
      </c>
      <c r="D292" s="2">
        <v>699536</v>
      </c>
      <c r="E292" s="2">
        <v>41535345915.5</v>
      </c>
      <c r="F292" s="2">
        <v>410.57</v>
      </c>
      <c r="G292" s="2">
        <v>1384880000</v>
      </c>
      <c r="H292" s="2">
        <v>20410.3125</v>
      </c>
      <c r="I292" s="2">
        <v>426.67888005899999</v>
      </c>
      <c r="J292" s="2" t="s">
        <v>2480</v>
      </c>
      <c r="K292" s="2">
        <v>0</v>
      </c>
      <c r="L292" s="2">
        <v>1.0934025E-4</v>
      </c>
      <c r="M292" s="2">
        <v>3595327310960000</v>
      </c>
      <c r="N292" s="2">
        <v>288126</v>
      </c>
      <c r="O292" s="2">
        <v>138106489</v>
      </c>
      <c r="P292" s="2">
        <v>5923</v>
      </c>
    </row>
    <row r="293" spans="1:16" x14ac:dyDescent="0.25">
      <c r="A293" s="1">
        <v>43317</v>
      </c>
      <c r="B293" s="2">
        <v>396998541.579</v>
      </c>
      <c r="C293" s="2">
        <v>396998541.579</v>
      </c>
      <c r="D293" s="2">
        <v>704249</v>
      </c>
      <c r="E293" s="2">
        <v>41201088010.5</v>
      </c>
      <c r="F293" s="2">
        <v>407.35</v>
      </c>
      <c r="G293" s="2">
        <v>1396820000</v>
      </c>
      <c r="H293" s="2">
        <v>20529.46875</v>
      </c>
      <c r="I293" s="2">
        <v>262.74222946600003</v>
      </c>
      <c r="J293" s="2" t="s">
        <v>2481</v>
      </c>
      <c r="K293" s="2">
        <v>0</v>
      </c>
      <c r="L293" s="2">
        <v>8.3801599999999994E-5</v>
      </c>
      <c r="M293" s="2">
        <v>3567618848570000</v>
      </c>
      <c r="N293" s="2">
        <v>275591</v>
      </c>
      <c r="O293" s="2">
        <v>131727253</v>
      </c>
      <c r="P293" s="2">
        <v>5932</v>
      </c>
    </row>
    <row r="294" spans="1:16" x14ac:dyDescent="0.25">
      <c r="A294" s="1">
        <v>43316</v>
      </c>
      <c r="B294" s="2">
        <v>435749537.49400002</v>
      </c>
      <c r="C294" s="2">
        <v>435749537.49400002</v>
      </c>
      <c r="D294" s="2">
        <v>720548</v>
      </c>
      <c r="E294" s="2">
        <v>42294581048.099998</v>
      </c>
      <c r="F294" s="2">
        <v>418.24</v>
      </c>
      <c r="G294" s="2">
        <v>1466540000</v>
      </c>
      <c r="H294" s="2">
        <v>20602.3125</v>
      </c>
      <c r="I294" s="2">
        <v>401.410556047</v>
      </c>
      <c r="J294" s="2" t="s">
        <v>2482</v>
      </c>
      <c r="K294" s="2">
        <v>0</v>
      </c>
      <c r="L294" s="2">
        <v>8.3832999999999995E-5</v>
      </c>
      <c r="M294" s="2">
        <v>3565682378550000</v>
      </c>
      <c r="N294" s="2">
        <v>263298</v>
      </c>
      <c r="O294" s="2">
        <v>127698377</v>
      </c>
      <c r="P294" s="2">
        <v>6003</v>
      </c>
    </row>
    <row r="295" spans="1:16" x14ac:dyDescent="0.25">
      <c r="A295" s="1">
        <v>43315</v>
      </c>
      <c r="B295" s="2">
        <v>597641735.08500004</v>
      </c>
      <c r="C295" s="2">
        <v>597641735.08500004</v>
      </c>
      <c r="D295" s="2">
        <v>753190</v>
      </c>
      <c r="E295" s="2">
        <v>41712693239.599998</v>
      </c>
      <c r="F295" s="2">
        <v>412.57</v>
      </c>
      <c r="G295" s="2">
        <v>1722340000</v>
      </c>
      <c r="H295" s="2">
        <v>20516.8125</v>
      </c>
      <c r="I295" s="2">
        <v>344.03554674200001</v>
      </c>
      <c r="J295" s="2" t="s">
        <v>2483</v>
      </c>
      <c r="K295" s="2">
        <v>0</v>
      </c>
      <c r="L295" s="2">
        <v>1.2311970000000001E-4</v>
      </c>
      <c r="M295" s="2">
        <v>3477334976140000</v>
      </c>
      <c r="N295" s="2">
        <v>313729</v>
      </c>
      <c r="O295" s="2">
        <v>132487957</v>
      </c>
      <c r="P295" s="2">
        <v>5916</v>
      </c>
    </row>
    <row r="296" spans="1:16" x14ac:dyDescent="0.25">
      <c r="A296" s="1">
        <v>43314</v>
      </c>
      <c r="B296" s="2">
        <v>741878770.61199999</v>
      </c>
      <c r="C296" s="2">
        <v>741878770.61199999</v>
      </c>
      <c r="D296" s="2">
        <v>779928</v>
      </c>
      <c r="E296" s="2">
        <v>42537059653.099998</v>
      </c>
      <c r="F296" s="2">
        <v>420.81</v>
      </c>
      <c r="G296" s="2">
        <v>1569300000</v>
      </c>
      <c r="H296" s="2">
        <v>20550.75</v>
      </c>
      <c r="I296" s="2">
        <v>333.95745725400002</v>
      </c>
      <c r="J296" s="2" t="s">
        <v>2484</v>
      </c>
      <c r="K296" s="2">
        <v>0</v>
      </c>
      <c r="L296" s="2">
        <v>8.4108800000000004E-5</v>
      </c>
      <c r="M296" s="2">
        <v>3554080876310000</v>
      </c>
      <c r="N296" s="2">
        <v>296340</v>
      </c>
      <c r="O296" s="2">
        <v>144018513</v>
      </c>
      <c r="P296" s="2">
        <v>5854</v>
      </c>
    </row>
    <row r="297" spans="1:16" x14ac:dyDescent="0.25">
      <c r="A297" s="1">
        <v>43313</v>
      </c>
      <c r="B297" s="2">
        <v>730268989.24399996</v>
      </c>
      <c r="C297" s="2">
        <v>730268989.24399996</v>
      </c>
      <c r="D297" s="2">
        <v>757758</v>
      </c>
      <c r="E297" s="2">
        <v>43847873798.599998</v>
      </c>
      <c r="F297" s="2">
        <v>433.87</v>
      </c>
      <c r="G297" s="2">
        <v>1888060000</v>
      </c>
      <c r="H297" s="2">
        <v>20427.84375</v>
      </c>
      <c r="I297" s="2">
        <v>747.82272312400005</v>
      </c>
      <c r="J297" s="2" t="s">
        <v>2485</v>
      </c>
      <c r="K297" s="2">
        <v>0</v>
      </c>
      <c r="L297" s="2">
        <v>8.3999999999999995E-5</v>
      </c>
      <c r="M297" s="2">
        <v>3515277776870000</v>
      </c>
      <c r="N297" s="2">
        <v>327362</v>
      </c>
      <c r="O297" s="2">
        <v>144924805</v>
      </c>
      <c r="P297" s="2">
        <v>5861</v>
      </c>
    </row>
    <row r="298" spans="1:16" x14ac:dyDescent="0.25">
      <c r="A298" s="1">
        <v>43312</v>
      </c>
      <c r="B298" s="2">
        <v>1383721180.78</v>
      </c>
      <c r="C298" s="2">
        <v>1383721180.78</v>
      </c>
      <c r="D298" s="2">
        <v>745063</v>
      </c>
      <c r="E298" s="2">
        <v>46201393055.199997</v>
      </c>
      <c r="F298" s="2">
        <v>457.25</v>
      </c>
      <c r="G298" s="2">
        <v>1820680000</v>
      </c>
      <c r="H298" s="2">
        <v>20594.625</v>
      </c>
      <c r="I298" s="2">
        <v>355.72234760999999</v>
      </c>
      <c r="J298" s="2" t="s">
        <v>2486</v>
      </c>
      <c r="K298" s="2">
        <v>1.8404010714999999E-2</v>
      </c>
      <c r="L298" s="2">
        <v>8.3725000000000002E-5</v>
      </c>
      <c r="M298" s="2">
        <v>3529739146570000</v>
      </c>
      <c r="N298" s="2">
        <v>335943</v>
      </c>
      <c r="O298" s="2">
        <v>141576274</v>
      </c>
      <c r="P298" s="2">
        <v>5919</v>
      </c>
    </row>
    <row r="299" spans="1:16" x14ac:dyDescent="0.25">
      <c r="A299" s="1">
        <v>43311</v>
      </c>
      <c r="B299" s="2">
        <v>798662816.98699999</v>
      </c>
      <c r="C299" s="2">
        <v>798662816.98699999</v>
      </c>
      <c r="D299" s="2">
        <v>757712</v>
      </c>
      <c r="E299" s="2">
        <v>47160183669</v>
      </c>
      <c r="F299" s="2">
        <v>466.83</v>
      </c>
      <c r="G299" s="2">
        <v>2141590000</v>
      </c>
      <c r="H299" s="2">
        <v>20414.90625</v>
      </c>
      <c r="I299" s="2">
        <v>343.23271247100001</v>
      </c>
      <c r="J299" s="2" t="s">
        <v>2487</v>
      </c>
      <c r="K299" s="2">
        <v>0</v>
      </c>
      <c r="L299" s="2">
        <v>8.3800000000000004E-5</v>
      </c>
      <c r="M299" s="2">
        <v>3562924043690000</v>
      </c>
      <c r="N299" s="2">
        <v>321268</v>
      </c>
      <c r="O299" s="2">
        <v>142212588</v>
      </c>
      <c r="P299" s="2">
        <v>5963</v>
      </c>
    </row>
    <row r="300" spans="1:16" x14ac:dyDescent="0.25">
      <c r="A300" s="1">
        <v>43310</v>
      </c>
      <c r="B300" s="2">
        <v>388731164.50300002</v>
      </c>
      <c r="C300" s="2">
        <v>388731164.50300002</v>
      </c>
      <c r="D300" s="2">
        <v>716354</v>
      </c>
      <c r="E300" s="2">
        <v>47159131779.400002</v>
      </c>
      <c r="F300" s="2">
        <v>466.92</v>
      </c>
      <c r="G300" s="2">
        <v>1631910016</v>
      </c>
      <c r="H300" s="2">
        <v>20493.28125</v>
      </c>
      <c r="I300" s="2">
        <v>303.75940641699998</v>
      </c>
      <c r="J300" s="2" t="s">
        <v>2488</v>
      </c>
      <c r="K300" s="2">
        <v>0</v>
      </c>
      <c r="L300" s="2">
        <v>6.3E-5</v>
      </c>
      <c r="M300" s="2">
        <v>3557469469690000</v>
      </c>
      <c r="N300" s="2">
        <v>290071</v>
      </c>
      <c r="O300" s="2">
        <v>131445206</v>
      </c>
      <c r="P300" s="2">
        <v>6010</v>
      </c>
    </row>
    <row r="301" spans="1:16" x14ac:dyDescent="0.25">
      <c r="A301" s="1">
        <v>43309</v>
      </c>
      <c r="B301" s="2">
        <v>432639951.48100001</v>
      </c>
      <c r="C301" s="2">
        <v>432639951.48100001</v>
      </c>
      <c r="D301" s="2">
        <v>703973</v>
      </c>
      <c r="E301" s="2">
        <v>47428580023.900002</v>
      </c>
      <c r="F301" s="2">
        <v>469.68</v>
      </c>
      <c r="G301" s="2">
        <v>1531890048</v>
      </c>
      <c r="H301" s="2">
        <v>20441.0625</v>
      </c>
      <c r="I301" s="2">
        <v>512.539594287</v>
      </c>
      <c r="J301" s="2" t="s">
        <v>2489</v>
      </c>
      <c r="K301" s="2">
        <v>0</v>
      </c>
      <c r="L301" s="2">
        <v>7.9800000000000002E-5</v>
      </c>
      <c r="M301" s="2">
        <v>3544915982250000</v>
      </c>
      <c r="N301" s="2">
        <v>294761</v>
      </c>
      <c r="O301" s="2">
        <v>117337958</v>
      </c>
      <c r="P301" s="2">
        <v>5991</v>
      </c>
    </row>
    <row r="302" spans="1:16" x14ac:dyDescent="0.25">
      <c r="A302" s="1">
        <v>43308</v>
      </c>
      <c r="B302" s="2">
        <v>685845333.10899997</v>
      </c>
      <c r="C302" s="2">
        <v>685845333.10899997</v>
      </c>
      <c r="D302" s="2">
        <v>788715</v>
      </c>
      <c r="E302" s="2">
        <v>46846323316.400002</v>
      </c>
      <c r="F302" s="2">
        <v>464.01</v>
      </c>
      <c r="G302" s="2">
        <v>1734259968</v>
      </c>
      <c r="H302" s="2">
        <v>20513.71875</v>
      </c>
      <c r="I302" s="2">
        <v>363.146119387</v>
      </c>
      <c r="J302" s="2" t="s">
        <v>2490</v>
      </c>
      <c r="K302" s="2">
        <v>0</v>
      </c>
      <c r="L302" s="2">
        <v>9.293475E-5</v>
      </c>
      <c r="M302" s="2">
        <v>3503120469920000</v>
      </c>
      <c r="N302" s="2">
        <v>303939</v>
      </c>
      <c r="O302" s="2">
        <v>134525520</v>
      </c>
      <c r="P302" s="2">
        <v>5909</v>
      </c>
    </row>
    <row r="303" spans="1:16" x14ac:dyDescent="0.25">
      <c r="A303" s="1">
        <v>43307</v>
      </c>
      <c r="B303" s="2">
        <v>630107347.59099996</v>
      </c>
      <c r="C303" s="2">
        <v>630107347.59099996</v>
      </c>
      <c r="D303" s="2">
        <v>725630</v>
      </c>
      <c r="E303" s="2">
        <v>47676720051.5</v>
      </c>
      <c r="F303" s="2">
        <v>472.33</v>
      </c>
      <c r="G303" s="2">
        <v>1621560064</v>
      </c>
      <c r="H303" s="2">
        <v>20423.90625</v>
      </c>
      <c r="I303" s="2">
        <v>390.99880040599999</v>
      </c>
      <c r="J303" s="2" t="s">
        <v>2491</v>
      </c>
      <c r="K303" s="2">
        <v>0</v>
      </c>
      <c r="L303" s="2">
        <v>1.3050900000000001E-4</v>
      </c>
      <c r="M303" s="2">
        <v>3529121429750000</v>
      </c>
      <c r="N303" s="2">
        <v>317742</v>
      </c>
      <c r="O303" s="2">
        <v>137545648</v>
      </c>
      <c r="P303" s="2">
        <v>5852</v>
      </c>
    </row>
    <row r="304" spans="1:16" x14ac:dyDescent="0.25">
      <c r="A304" s="1">
        <v>43306</v>
      </c>
      <c r="B304" s="2">
        <v>819250568.66499996</v>
      </c>
      <c r="C304" s="2">
        <v>819250568.66499996</v>
      </c>
      <c r="D304" s="2">
        <v>787527</v>
      </c>
      <c r="E304" s="2">
        <v>48432659473.699997</v>
      </c>
      <c r="F304" s="2">
        <v>479.91</v>
      </c>
      <c r="G304" s="2">
        <v>1930780032</v>
      </c>
      <c r="H304" s="2">
        <v>20769.5625</v>
      </c>
      <c r="I304" s="2">
        <v>443.45950712500002</v>
      </c>
      <c r="J304" s="2" t="s">
        <v>2492</v>
      </c>
      <c r="K304" s="2">
        <v>0</v>
      </c>
      <c r="L304" s="2">
        <v>1.4309469999999999E-4</v>
      </c>
      <c r="M304" s="2">
        <v>3475587900710000</v>
      </c>
      <c r="N304" s="2">
        <v>318789</v>
      </c>
      <c r="O304" s="2">
        <v>142537560</v>
      </c>
      <c r="P304" s="2">
        <v>5900</v>
      </c>
    </row>
    <row r="305" spans="1:16" x14ac:dyDescent="0.25">
      <c r="A305" s="1">
        <v>43305</v>
      </c>
      <c r="B305" s="2">
        <v>866769246.42799997</v>
      </c>
      <c r="C305" s="2">
        <v>866769246.42799997</v>
      </c>
      <c r="D305" s="2">
        <v>784910</v>
      </c>
      <c r="E305" s="2">
        <v>45519816054.300003</v>
      </c>
      <c r="F305" s="2">
        <v>451.14</v>
      </c>
      <c r="G305" s="2">
        <v>2287520000</v>
      </c>
      <c r="H305" s="2">
        <v>20564.53125</v>
      </c>
      <c r="I305" s="2">
        <v>475.62297212999999</v>
      </c>
      <c r="J305" s="2" t="s">
        <v>2493</v>
      </c>
      <c r="K305" s="2">
        <v>0</v>
      </c>
      <c r="L305" s="2">
        <v>1.74768E-4</v>
      </c>
      <c r="M305" s="2">
        <v>3425937042420000</v>
      </c>
      <c r="N305" s="2">
        <v>328947</v>
      </c>
      <c r="O305" s="2">
        <v>140866157</v>
      </c>
      <c r="P305" s="2">
        <v>5815</v>
      </c>
    </row>
    <row r="306" spans="1:16" x14ac:dyDescent="0.25">
      <c r="A306" s="1">
        <v>43304</v>
      </c>
      <c r="B306" s="2">
        <v>830929712.19299996</v>
      </c>
      <c r="C306" s="2">
        <v>830929712.19299996</v>
      </c>
      <c r="D306" s="2">
        <v>758657</v>
      </c>
      <c r="E306" s="2">
        <v>46347852183.699997</v>
      </c>
      <c r="F306" s="2">
        <v>459.44</v>
      </c>
      <c r="G306" s="2">
        <v>1596999936</v>
      </c>
      <c r="H306" s="2">
        <v>20435.4375</v>
      </c>
      <c r="I306" s="2">
        <v>558.45965748499998</v>
      </c>
      <c r="J306" s="2" t="s">
        <v>2494</v>
      </c>
      <c r="K306" s="2">
        <v>0</v>
      </c>
      <c r="L306" s="2">
        <v>2.9350399999999999E-4</v>
      </c>
      <c r="M306" s="2">
        <v>3515978171520000</v>
      </c>
      <c r="N306" s="2">
        <v>279755</v>
      </c>
      <c r="O306" s="2">
        <v>135215590</v>
      </c>
      <c r="P306" s="2">
        <v>5862</v>
      </c>
    </row>
    <row r="307" spans="1:16" x14ac:dyDescent="0.25">
      <c r="A307" s="1">
        <v>43303</v>
      </c>
      <c r="B307" s="2">
        <v>530028724.42299998</v>
      </c>
      <c r="C307" s="2">
        <v>530028724.42299998</v>
      </c>
      <c r="D307" s="2">
        <v>675356</v>
      </c>
      <c r="E307" s="2">
        <v>46640412828.699997</v>
      </c>
      <c r="F307" s="2">
        <v>462.44</v>
      </c>
      <c r="G307" s="2">
        <v>1338589952</v>
      </c>
      <c r="H307" s="2">
        <v>20770.21875</v>
      </c>
      <c r="I307" s="2">
        <v>367.82916768899997</v>
      </c>
      <c r="J307" s="2" t="s">
        <v>2495</v>
      </c>
      <c r="K307" s="2">
        <v>0</v>
      </c>
      <c r="L307" s="2">
        <v>1.139798E-4</v>
      </c>
      <c r="M307" s="2">
        <v>3345711445340000</v>
      </c>
      <c r="N307" s="2">
        <v>265599</v>
      </c>
      <c r="O307" s="2">
        <v>124237960</v>
      </c>
      <c r="P307" s="2">
        <v>5975</v>
      </c>
    </row>
    <row r="308" spans="1:16" x14ac:dyDescent="0.25">
      <c r="A308" s="1">
        <v>43302</v>
      </c>
      <c r="B308" s="2">
        <v>573026148.08000004</v>
      </c>
      <c r="C308" s="2">
        <v>573026148.08000004</v>
      </c>
      <c r="D308" s="2">
        <v>620634</v>
      </c>
      <c r="E308" s="2">
        <v>45444886304.5</v>
      </c>
      <c r="F308" s="2">
        <v>450.68</v>
      </c>
      <c r="G308" s="2">
        <v>1504310016</v>
      </c>
      <c r="H308" s="2">
        <v>20569.78125</v>
      </c>
      <c r="I308" s="2">
        <v>591.20976171400002</v>
      </c>
      <c r="J308" s="2" t="s">
        <v>2496</v>
      </c>
      <c r="K308" s="2">
        <v>4.5068E-3</v>
      </c>
      <c r="L308" s="2">
        <v>2.7300000000000002E-4</v>
      </c>
      <c r="M308" s="2">
        <v>3236425269180000</v>
      </c>
      <c r="N308" s="2">
        <v>265524</v>
      </c>
      <c r="O308" s="2">
        <v>114955132</v>
      </c>
      <c r="P308" s="2">
        <v>5997</v>
      </c>
    </row>
    <row r="309" spans="1:16" x14ac:dyDescent="0.25">
      <c r="A309" s="1">
        <v>43301</v>
      </c>
      <c r="B309" s="2">
        <v>961066897.36000001</v>
      </c>
      <c r="C309" s="2">
        <v>961066897.36000001</v>
      </c>
      <c r="D309" s="2">
        <v>671608</v>
      </c>
      <c r="E309" s="2">
        <v>47314007277.300003</v>
      </c>
      <c r="F309" s="2">
        <v>469.31</v>
      </c>
      <c r="G309" s="2">
        <v>1821350016</v>
      </c>
      <c r="H309" s="2">
        <v>20184.75</v>
      </c>
      <c r="I309" s="2">
        <v>558.21914194600004</v>
      </c>
      <c r="J309" s="2" t="s">
        <v>2497</v>
      </c>
      <c r="K309" s="2">
        <v>4.6931000000000004E-3</v>
      </c>
      <c r="L309" s="2">
        <v>2.5343000000000002E-4</v>
      </c>
      <c r="M309" s="2">
        <v>3427893393480000</v>
      </c>
      <c r="N309" s="2">
        <v>303478</v>
      </c>
      <c r="O309" s="2">
        <v>123938282</v>
      </c>
      <c r="P309" s="2">
        <v>5838</v>
      </c>
    </row>
    <row r="310" spans="1:16" x14ac:dyDescent="0.25">
      <c r="A310" s="1">
        <v>43300</v>
      </c>
      <c r="B310" s="2">
        <v>891285642.03400004</v>
      </c>
      <c r="C310" s="2">
        <v>891285642.03400004</v>
      </c>
      <c r="D310" s="2">
        <v>734702</v>
      </c>
      <c r="E310" s="2">
        <v>48445665855.800003</v>
      </c>
      <c r="F310" s="2">
        <v>480.63</v>
      </c>
      <c r="G310" s="2">
        <v>2068739968</v>
      </c>
      <c r="H310" s="2">
        <v>20430.5625</v>
      </c>
      <c r="I310" s="2">
        <v>431.950070568</v>
      </c>
      <c r="J310" s="2" t="s">
        <v>2498</v>
      </c>
      <c r="K310" s="2">
        <v>0</v>
      </c>
      <c r="L310" s="2">
        <v>1.6006500000000001E-4</v>
      </c>
      <c r="M310" s="2">
        <v>3433815406420000</v>
      </c>
      <c r="N310" s="2">
        <v>305491</v>
      </c>
      <c r="O310" s="2">
        <v>137454375</v>
      </c>
      <c r="P310" s="2">
        <v>5793</v>
      </c>
    </row>
    <row r="311" spans="1:16" x14ac:dyDescent="0.25">
      <c r="A311" s="1">
        <v>43299</v>
      </c>
      <c r="B311" s="2">
        <v>1125129064.4000001</v>
      </c>
      <c r="C311" s="2">
        <v>1125129064.4000001</v>
      </c>
      <c r="D311" s="2">
        <v>746145</v>
      </c>
      <c r="E311" s="2">
        <v>50472943544.800003</v>
      </c>
      <c r="F311" s="2">
        <v>500.84</v>
      </c>
      <c r="G311" s="2">
        <v>2371559936</v>
      </c>
      <c r="H311" s="2">
        <v>20329.3125</v>
      </c>
      <c r="I311" s="2">
        <v>478.47051625300003</v>
      </c>
      <c r="J311" s="2" t="s">
        <v>2499</v>
      </c>
      <c r="K311" s="2">
        <v>0</v>
      </c>
      <c r="L311" s="2">
        <v>2.31E-4</v>
      </c>
      <c r="M311" s="2">
        <v>3478378278060000</v>
      </c>
      <c r="N311" s="2">
        <v>321586</v>
      </c>
      <c r="O311" s="2">
        <v>135810428</v>
      </c>
      <c r="P311" s="2">
        <v>5757</v>
      </c>
    </row>
    <row r="312" spans="1:16" x14ac:dyDescent="0.25">
      <c r="A312" s="1">
        <v>43298</v>
      </c>
      <c r="B312" s="2">
        <v>938992640.57500005</v>
      </c>
      <c r="C312" s="2">
        <v>938992640.57500005</v>
      </c>
      <c r="D312" s="2">
        <v>701292</v>
      </c>
      <c r="E312" s="2">
        <v>48370950335.5</v>
      </c>
      <c r="F312" s="2">
        <v>480.08</v>
      </c>
      <c r="G312" s="2">
        <v>2288100096</v>
      </c>
      <c r="H312" s="2">
        <v>20738.8125</v>
      </c>
      <c r="I312" s="2">
        <v>506.76849052599999</v>
      </c>
      <c r="J312" s="2" t="s">
        <v>2500</v>
      </c>
      <c r="K312" s="2">
        <v>0</v>
      </c>
      <c r="L312" s="2">
        <v>2.31E-4</v>
      </c>
      <c r="M312" s="2">
        <v>3450888719950000</v>
      </c>
      <c r="N312" s="2">
        <v>302076</v>
      </c>
      <c r="O312" s="2">
        <v>138882182</v>
      </c>
      <c r="P312" s="2">
        <v>5889</v>
      </c>
    </row>
    <row r="313" spans="1:16" x14ac:dyDescent="0.25">
      <c r="A313" s="1">
        <v>43297</v>
      </c>
      <c r="B313" s="2">
        <v>920908917.56099999</v>
      </c>
      <c r="C313" s="2">
        <v>920908917.56099999</v>
      </c>
      <c r="D313" s="2">
        <v>703999</v>
      </c>
      <c r="E313" s="2">
        <v>45372816389.099998</v>
      </c>
      <c r="F313" s="2">
        <v>450.42</v>
      </c>
      <c r="G313" s="2">
        <v>1858680064</v>
      </c>
      <c r="H313" s="2">
        <v>20378.8125</v>
      </c>
      <c r="I313" s="2">
        <v>583.14451005599994</v>
      </c>
      <c r="J313" s="2" t="s">
        <v>2501</v>
      </c>
      <c r="K313" s="2">
        <v>0</v>
      </c>
      <c r="L313" s="2">
        <v>3.1500000000000001E-4</v>
      </c>
      <c r="M313" s="2">
        <v>3445540792750000</v>
      </c>
      <c r="N313" s="2">
        <v>308413</v>
      </c>
      <c r="O313" s="2">
        <v>137106823</v>
      </c>
      <c r="P313" s="2">
        <v>5851</v>
      </c>
    </row>
    <row r="314" spans="1:16" x14ac:dyDescent="0.25">
      <c r="A314" s="1">
        <v>43296</v>
      </c>
      <c r="B314" s="2">
        <v>383605717.40600002</v>
      </c>
      <c r="C314" s="2">
        <v>383605717.40600002</v>
      </c>
      <c r="D314" s="2">
        <v>453706</v>
      </c>
      <c r="E314" s="2">
        <v>43899432922</v>
      </c>
      <c r="F314" s="2">
        <v>435.88</v>
      </c>
      <c r="G314" s="2">
        <v>1350160000</v>
      </c>
      <c r="H314" s="2">
        <v>20612.625</v>
      </c>
      <c r="I314" s="2">
        <v>3561.5669828700002</v>
      </c>
      <c r="J314" s="2" t="s">
        <v>2502</v>
      </c>
      <c r="K314" s="2">
        <v>3.6875186472000001</v>
      </c>
      <c r="L314" s="2">
        <v>1.0499999999999999E-3</v>
      </c>
      <c r="M314" s="2">
        <v>3422096291570000</v>
      </c>
      <c r="N314" s="2">
        <v>228349</v>
      </c>
      <c r="O314" s="2">
        <v>113308422</v>
      </c>
      <c r="P314" s="2">
        <v>6067</v>
      </c>
    </row>
    <row r="315" spans="1:16" x14ac:dyDescent="0.25">
      <c r="A315" s="1">
        <v>43295</v>
      </c>
      <c r="B315" s="2">
        <v>440715218.77100003</v>
      </c>
      <c r="C315" s="2">
        <v>440715218.77100003</v>
      </c>
      <c r="D315" s="2">
        <v>508951</v>
      </c>
      <c r="E315" s="2">
        <v>43752098681.900002</v>
      </c>
      <c r="F315" s="2">
        <v>434.51</v>
      </c>
      <c r="G315" s="2">
        <v>1235820032</v>
      </c>
      <c r="H315" s="2">
        <v>20451.5625</v>
      </c>
      <c r="I315" s="2">
        <v>2932.26184612</v>
      </c>
      <c r="J315" s="2" t="s">
        <v>2503</v>
      </c>
      <c r="K315" s="2">
        <v>0.39747671270000001</v>
      </c>
      <c r="L315" s="2">
        <v>1.7067359999999999E-3</v>
      </c>
      <c r="M315" s="2">
        <v>3424541366450000</v>
      </c>
      <c r="N315" s="2">
        <v>245729</v>
      </c>
      <c r="O315" s="2">
        <v>117613442</v>
      </c>
      <c r="P315" s="2">
        <v>6006</v>
      </c>
    </row>
    <row r="316" spans="1:16" x14ac:dyDescent="0.25">
      <c r="A316" s="1">
        <v>43294</v>
      </c>
      <c r="B316" s="2">
        <v>573534516.73000002</v>
      </c>
      <c r="C316" s="2">
        <v>573534516.73000002</v>
      </c>
      <c r="D316" s="2">
        <v>563317</v>
      </c>
      <c r="E316" s="2">
        <v>43363775458.699997</v>
      </c>
      <c r="F316" s="2">
        <v>430.74</v>
      </c>
      <c r="G316" s="2">
        <v>1489670016</v>
      </c>
      <c r="H316" s="2">
        <v>20293.5</v>
      </c>
      <c r="I316" s="2">
        <v>1531.90262252</v>
      </c>
      <c r="J316" s="2" t="s">
        <v>2504</v>
      </c>
      <c r="K316" s="2">
        <v>0</v>
      </c>
      <c r="L316" s="2">
        <v>9.1190749999999995E-4</v>
      </c>
      <c r="M316" s="2">
        <v>3446238480970000</v>
      </c>
      <c r="N316" s="2">
        <v>238527</v>
      </c>
      <c r="O316" s="2">
        <v>123779359</v>
      </c>
      <c r="P316" s="2">
        <v>5953</v>
      </c>
    </row>
    <row r="317" spans="1:16" x14ac:dyDescent="0.25">
      <c r="A317" s="1">
        <v>43293</v>
      </c>
      <c r="B317" s="2">
        <v>644830283.74899995</v>
      </c>
      <c r="C317" s="2">
        <v>644830283.74899995</v>
      </c>
      <c r="D317" s="2">
        <v>566058</v>
      </c>
      <c r="E317" s="2">
        <v>44942040481.900002</v>
      </c>
      <c r="F317" s="2">
        <v>446.5</v>
      </c>
      <c r="G317" s="2">
        <v>1495440000</v>
      </c>
      <c r="H317" s="2">
        <v>20510.4375</v>
      </c>
      <c r="I317" s="2">
        <v>1363.06030149</v>
      </c>
      <c r="J317" s="2" t="s">
        <v>2505</v>
      </c>
      <c r="K317" s="2">
        <v>0</v>
      </c>
      <c r="L317" s="2">
        <v>8.0408983302200003E-4</v>
      </c>
      <c r="M317" s="2">
        <v>3441982928860000</v>
      </c>
      <c r="N317" s="2">
        <v>244781</v>
      </c>
      <c r="O317" s="2">
        <v>127278578</v>
      </c>
      <c r="P317" s="2">
        <v>5993</v>
      </c>
    </row>
    <row r="318" spans="1:16" x14ac:dyDescent="0.25">
      <c r="A318" s="1">
        <v>43292</v>
      </c>
      <c r="B318" s="2">
        <v>671689310.19200003</v>
      </c>
      <c r="C318" s="2">
        <v>671689310.19200003</v>
      </c>
      <c r="D318" s="2">
        <v>643920</v>
      </c>
      <c r="E318" s="2">
        <v>43726685337.800003</v>
      </c>
      <c r="F318" s="2">
        <v>434.52</v>
      </c>
      <c r="G318" s="2">
        <v>1422470016</v>
      </c>
      <c r="H318" s="2">
        <v>20674.6875</v>
      </c>
      <c r="I318" s="2">
        <v>838.93752869299999</v>
      </c>
      <c r="J318" s="2" t="s">
        <v>2506</v>
      </c>
      <c r="K318" s="2">
        <v>0</v>
      </c>
      <c r="L318" s="2">
        <v>4.6248399999999999E-4</v>
      </c>
      <c r="M318" s="2">
        <v>3357071624360000</v>
      </c>
      <c r="N318" s="2">
        <v>261753</v>
      </c>
      <c r="O318" s="2">
        <v>131108742</v>
      </c>
      <c r="P318" s="2">
        <v>5931</v>
      </c>
    </row>
    <row r="319" spans="1:16" x14ac:dyDescent="0.25">
      <c r="A319" s="1">
        <v>43291</v>
      </c>
      <c r="B319" s="2">
        <v>981304666.13399994</v>
      </c>
      <c r="C319" s="2">
        <v>981304666.13399994</v>
      </c>
      <c r="D319" s="2">
        <v>691771</v>
      </c>
      <c r="E319" s="2">
        <v>47907822852.5</v>
      </c>
      <c r="F319" s="2">
        <v>476.16</v>
      </c>
      <c r="G319" s="2">
        <v>1789069952</v>
      </c>
      <c r="H319" s="2">
        <v>20358.9375</v>
      </c>
      <c r="I319" s="2">
        <v>734.23911219800004</v>
      </c>
      <c r="J319" s="2" t="s">
        <v>2507</v>
      </c>
      <c r="K319" s="2">
        <v>0</v>
      </c>
      <c r="L319" s="2">
        <v>5.1820200000000005E-4</v>
      </c>
      <c r="M319" s="2">
        <v>3499090624100000</v>
      </c>
      <c r="N319" s="2">
        <v>289076</v>
      </c>
      <c r="O319" s="2">
        <v>135492173</v>
      </c>
      <c r="P319" s="2">
        <v>5783</v>
      </c>
    </row>
    <row r="320" spans="1:16" x14ac:dyDescent="0.25">
      <c r="A320" s="1">
        <v>43290</v>
      </c>
      <c r="B320" s="2">
        <v>948231557.95099998</v>
      </c>
      <c r="C320" s="2">
        <v>948231557.95099998</v>
      </c>
      <c r="D320" s="2">
        <v>651926</v>
      </c>
      <c r="E320" s="2">
        <v>49177434874</v>
      </c>
      <c r="F320" s="2">
        <v>488.88</v>
      </c>
      <c r="G320" s="2">
        <v>1533799936</v>
      </c>
      <c r="H320" s="2">
        <v>20650.03125</v>
      </c>
      <c r="I320" s="2">
        <v>1096.82724581</v>
      </c>
      <c r="J320" s="2" t="s">
        <v>2508</v>
      </c>
      <c r="K320" s="2">
        <v>0</v>
      </c>
      <c r="L320" s="2">
        <v>6.7322339999999995E-4</v>
      </c>
      <c r="M320" s="2">
        <v>3531174198750000</v>
      </c>
      <c r="N320" s="2">
        <v>293891</v>
      </c>
      <c r="O320" s="2">
        <v>130928929</v>
      </c>
      <c r="P320" s="2">
        <v>5855</v>
      </c>
    </row>
    <row r="321" spans="1:16" x14ac:dyDescent="0.25">
      <c r="A321" s="1">
        <v>43289</v>
      </c>
      <c r="B321" s="2">
        <v>670440684.62600005</v>
      </c>
      <c r="C321" s="2">
        <v>670440684.62600005</v>
      </c>
      <c r="D321" s="2">
        <v>631505</v>
      </c>
      <c r="E321" s="2">
        <v>49487844866</v>
      </c>
      <c r="F321" s="2">
        <v>492.07</v>
      </c>
      <c r="G321" s="2">
        <v>1344560000</v>
      </c>
      <c r="H321" s="2">
        <v>20415</v>
      </c>
      <c r="I321" s="2">
        <v>1382.16199867</v>
      </c>
      <c r="J321" s="2" t="s">
        <v>2509</v>
      </c>
      <c r="K321" s="2">
        <v>0.13418748899999999</v>
      </c>
      <c r="L321" s="2">
        <v>9.8519579999999996E-4</v>
      </c>
      <c r="M321" s="2">
        <v>3452745477430000</v>
      </c>
      <c r="N321" s="2">
        <v>277248</v>
      </c>
      <c r="O321" s="2">
        <v>127418442</v>
      </c>
      <c r="P321" s="2">
        <v>5697</v>
      </c>
    </row>
    <row r="322" spans="1:16" x14ac:dyDescent="0.25">
      <c r="A322" s="1">
        <v>43288</v>
      </c>
      <c r="B322" s="2">
        <v>557817878.41600001</v>
      </c>
      <c r="C322" s="2">
        <v>557817878.41600001</v>
      </c>
      <c r="D322" s="2">
        <v>484105</v>
      </c>
      <c r="E322" s="2">
        <v>47666984681.099998</v>
      </c>
      <c r="F322" s="2">
        <v>474.06</v>
      </c>
      <c r="G322" s="2">
        <v>1358360064</v>
      </c>
      <c r="H322" s="2">
        <v>20521.40625</v>
      </c>
      <c r="I322" s="2">
        <v>3015.04091935</v>
      </c>
      <c r="J322" s="2" t="s">
        <v>2510</v>
      </c>
      <c r="K322" s="2">
        <v>2.84436</v>
      </c>
      <c r="L322" s="2">
        <v>1.89E-3</v>
      </c>
      <c r="M322" s="2">
        <v>3525426804280000</v>
      </c>
      <c r="N322" s="2">
        <v>233105</v>
      </c>
      <c r="O322" s="2">
        <v>114711948</v>
      </c>
      <c r="P322" s="2">
        <v>5820</v>
      </c>
    </row>
    <row r="323" spans="1:16" x14ac:dyDescent="0.25">
      <c r="A323" s="1">
        <v>43287</v>
      </c>
      <c r="B323" s="2">
        <v>820950980.97500002</v>
      </c>
      <c r="C323" s="2">
        <v>820950980.97500002</v>
      </c>
      <c r="D323" s="2">
        <v>459075</v>
      </c>
      <c r="E323" s="2">
        <v>47687609710.800003</v>
      </c>
      <c r="F323" s="2">
        <v>474.36</v>
      </c>
      <c r="G323" s="2">
        <v>1627609984</v>
      </c>
      <c r="H323" s="2">
        <v>20421.375</v>
      </c>
      <c r="I323" s="2">
        <v>3356.1320663000001</v>
      </c>
      <c r="J323" s="2" t="s">
        <v>2511</v>
      </c>
      <c r="K323" s="2">
        <v>13.390409593199999</v>
      </c>
      <c r="L323" s="2">
        <v>2.0999999569899998E-3</v>
      </c>
      <c r="M323" s="2">
        <v>3511897316860000</v>
      </c>
      <c r="N323" s="2">
        <v>240419</v>
      </c>
      <c r="O323" s="2">
        <v>112328149</v>
      </c>
      <c r="P323" s="2">
        <v>5844</v>
      </c>
    </row>
    <row r="324" spans="1:16" x14ac:dyDescent="0.25">
      <c r="A324" s="1">
        <v>43286</v>
      </c>
      <c r="B324" s="2">
        <v>828850945.079</v>
      </c>
      <c r="C324" s="2">
        <v>828850945.079</v>
      </c>
      <c r="D324" s="2">
        <v>527586</v>
      </c>
      <c r="E324" s="2">
        <v>46967336536</v>
      </c>
      <c r="F324" s="2">
        <v>467.29</v>
      </c>
      <c r="G324" s="2">
        <v>1828610048</v>
      </c>
      <c r="H324" s="2">
        <v>20418</v>
      </c>
      <c r="I324" s="2">
        <v>2561.4438241100002</v>
      </c>
      <c r="J324" s="2" t="s">
        <v>2512</v>
      </c>
      <c r="K324" s="2">
        <v>3.9252359999999999</v>
      </c>
      <c r="L324" s="2">
        <v>1.297758E-3</v>
      </c>
      <c r="M324" s="2">
        <v>3560406548710000</v>
      </c>
      <c r="N324" s="2">
        <v>271389</v>
      </c>
      <c r="O324" s="2">
        <v>124825511</v>
      </c>
      <c r="P324" s="2">
        <v>5808</v>
      </c>
    </row>
    <row r="325" spans="1:16" x14ac:dyDescent="0.25">
      <c r="A325" s="1">
        <v>43285</v>
      </c>
      <c r="B325" s="2">
        <v>768398827.93900001</v>
      </c>
      <c r="C325" s="2">
        <v>768398827.93900001</v>
      </c>
      <c r="D325" s="2">
        <v>447112</v>
      </c>
      <c r="E325" s="2">
        <v>46641842606.599998</v>
      </c>
      <c r="F325" s="2">
        <v>464.15</v>
      </c>
      <c r="G325" s="2">
        <v>1549769984</v>
      </c>
      <c r="H325" s="2">
        <v>20472.09375</v>
      </c>
      <c r="I325" s="2">
        <v>2942.8651202699998</v>
      </c>
      <c r="J325" s="2" t="s">
        <v>2513</v>
      </c>
      <c r="K325" s="2">
        <v>19.258047650000002</v>
      </c>
      <c r="L325" s="2">
        <v>1.5493799999999999E-3</v>
      </c>
      <c r="M325" s="2">
        <v>3436789282150000</v>
      </c>
      <c r="N325" s="2">
        <v>246249</v>
      </c>
      <c r="O325" s="2">
        <v>110408253</v>
      </c>
      <c r="P325" s="2">
        <v>5837</v>
      </c>
    </row>
    <row r="326" spans="1:16" x14ac:dyDescent="0.25">
      <c r="A326" s="1">
        <v>43284</v>
      </c>
      <c r="B326" s="2">
        <v>945757761.56400001</v>
      </c>
      <c r="C326" s="2">
        <v>945757761.56400001</v>
      </c>
      <c r="D326" s="2">
        <v>573532</v>
      </c>
      <c r="E326" s="2">
        <v>47761299859.400002</v>
      </c>
      <c r="F326" s="2">
        <v>475.39</v>
      </c>
      <c r="G326" s="2">
        <v>1683939968</v>
      </c>
      <c r="H326" s="2">
        <v>20492.34375</v>
      </c>
      <c r="I326" s="2">
        <v>4020.7624623800002</v>
      </c>
      <c r="J326" s="2" t="s">
        <v>2514</v>
      </c>
      <c r="K326" s="2">
        <v>0</v>
      </c>
      <c r="L326" s="2">
        <v>2.604E-3</v>
      </c>
      <c r="M326" s="2">
        <v>3455917200720000</v>
      </c>
      <c r="N326" s="2">
        <v>262253</v>
      </c>
      <c r="O326" s="2">
        <v>128070565</v>
      </c>
      <c r="P326" s="2">
        <v>5809</v>
      </c>
    </row>
    <row r="327" spans="1:16" x14ac:dyDescent="0.25">
      <c r="A327" s="1">
        <v>43283</v>
      </c>
      <c r="B327" s="2">
        <v>759757091.21800005</v>
      </c>
      <c r="C327" s="2">
        <v>759757091.21800005</v>
      </c>
      <c r="D327" s="2">
        <v>489559</v>
      </c>
      <c r="E327" s="2">
        <v>45585108159.199997</v>
      </c>
      <c r="F327" s="2">
        <v>453.82</v>
      </c>
      <c r="G327" s="2">
        <v>1625789952</v>
      </c>
      <c r="H327" s="2">
        <v>20666.8125</v>
      </c>
      <c r="I327" s="2">
        <v>5862.5262260199997</v>
      </c>
      <c r="J327" s="2" t="s">
        <v>2515</v>
      </c>
      <c r="K327" s="2">
        <v>18.536234647099999</v>
      </c>
      <c r="L327" s="2">
        <v>2.2665599999999999E-3</v>
      </c>
      <c r="M327" s="2">
        <v>3392110932390000</v>
      </c>
      <c r="N327" s="2">
        <v>256882</v>
      </c>
      <c r="O327" s="2">
        <v>116357723</v>
      </c>
      <c r="P327" s="2">
        <v>5929</v>
      </c>
    </row>
    <row r="328" spans="1:16" x14ac:dyDescent="0.25">
      <c r="A328" s="1">
        <v>43282</v>
      </c>
      <c r="B328" s="2">
        <v>492016026.014</v>
      </c>
      <c r="C328" s="2">
        <v>492016026.014</v>
      </c>
      <c r="D328" s="2">
        <v>622633</v>
      </c>
      <c r="E328" s="2">
        <v>45718425468.099998</v>
      </c>
      <c r="F328" s="2">
        <v>455.24</v>
      </c>
      <c r="G328" s="2">
        <v>1511730048</v>
      </c>
      <c r="H328" s="2">
        <v>20427.28125</v>
      </c>
      <c r="I328" s="2">
        <v>3237.2530630699998</v>
      </c>
      <c r="J328" s="2" t="s">
        <v>2516</v>
      </c>
      <c r="K328" s="2">
        <v>0</v>
      </c>
      <c r="L328" s="2">
        <v>1.9864119999999999E-3</v>
      </c>
      <c r="M328" s="2">
        <v>3361516796010000</v>
      </c>
      <c r="N328" s="2">
        <v>213340</v>
      </c>
      <c r="O328" s="2">
        <v>131329959</v>
      </c>
      <c r="P328" s="2">
        <v>5837</v>
      </c>
    </row>
    <row r="329" spans="1:16" x14ac:dyDescent="0.25">
      <c r="A329" s="1">
        <v>43281</v>
      </c>
      <c r="B329" s="2">
        <v>582023227.99399996</v>
      </c>
      <c r="C329" s="2">
        <v>582023227.99399996</v>
      </c>
      <c r="D329" s="2">
        <v>632981</v>
      </c>
      <c r="E329" s="2">
        <v>43798579440.800003</v>
      </c>
      <c r="F329" s="2">
        <v>436.21</v>
      </c>
      <c r="G329" s="2">
        <v>1475939968</v>
      </c>
      <c r="H329" s="2">
        <v>20640.09375</v>
      </c>
      <c r="I329" s="2">
        <v>1998.5567904</v>
      </c>
      <c r="J329" s="2" t="s">
        <v>2517</v>
      </c>
      <c r="K329" s="2">
        <v>0</v>
      </c>
      <c r="L329" s="2">
        <v>7.5560000000000004E-4</v>
      </c>
      <c r="M329" s="2">
        <v>3470085389550000</v>
      </c>
      <c r="N329" s="2">
        <v>249772</v>
      </c>
      <c r="O329" s="2">
        <v>129637689</v>
      </c>
      <c r="P329" s="2">
        <v>5870</v>
      </c>
    </row>
    <row r="330" spans="1:16" x14ac:dyDescent="0.25">
      <c r="A330" s="1">
        <v>43280</v>
      </c>
      <c r="B330" s="2">
        <v>1015423667.46</v>
      </c>
      <c r="C330" s="2">
        <v>1015423667.46</v>
      </c>
      <c r="D330" s="2">
        <v>735092</v>
      </c>
      <c r="E330" s="2">
        <v>42422226051.900002</v>
      </c>
      <c r="F330" s="2">
        <v>422.59</v>
      </c>
      <c r="G330" s="2">
        <v>1564499968</v>
      </c>
      <c r="H330" s="2">
        <v>20375.4375</v>
      </c>
      <c r="I330" s="2">
        <v>392.30221743099997</v>
      </c>
      <c r="J330" s="2" t="s">
        <v>2518</v>
      </c>
      <c r="K330" s="2">
        <v>8.8743900000000001E-2</v>
      </c>
      <c r="L330" s="2">
        <v>1.6799999999999999E-4</v>
      </c>
      <c r="M330" s="2">
        <v>3378949753380000</v>
      </c>
      <c r="N330" s="2">
        <v>347489</v>
      </c>
      <c r="O330" s="2">
        <v>133831720</v>
      </c>
      <c r="P330" s="2">
        <v>5764</v>
      </c>
    </row>
    <row r="331" spans="1:16" x14ac:dyDescent="0.25">
      <c r="A331" s="1">
        <v>43279</v>
      </c>
      <c r="B331" s="2">
        <v>862669056.98099995</v>
      </c>
      <c r="C331" s="2">
        <v>862669056.98099995</v>
      </c>
      <c r="D331" s="2">
        <v>744784</v>
      </c>
      <c r="E331" s="2">
        <v>44391444976.199997</v>
      </c>
      <c r="F331" s="2">
        <v>442.29</v>
      </c>
      <c r="G331" s="2">
        <v>1360790016</v>
      </c>
      <c r="H331" s="2">
        <v>20384.4375</v>
      </c>
      <c r="I331" s="2">
        <v>370.161263426</v>
      </c>
      <c r="J331" s="2" t="s">
        <v>2519</v>
      </c>
      <c r="K331" s="2">
        <v>4.4228999999999997E-2</v>
      </c>
      <c r="L331" s="2">
        <v>1.5141625729199999E-4</v>
      </c>
      <c r="M331" s="2">
        <v>3406501442170000</v>
      </c>
      <c r="N331" s="2">
        <v>354001</v>
      </c>
      <c r="O331" s="2">
        <v>137859501</v>
      </c>
      <c r="P331" s="2">
        <v>5762</v>
      </c>
    </row>
    <row r="332" spans="1:16" x14ac:dyDescent="0.25">
      <c r="A332" s="1">
        <v>43278</v>
      </c>
      <c r="B332" s="2">
        <v>948883700.59099996</v>
      </c>
      <c r="C332" s="2">
        <v>948883700.59099996</v>
      </c>
      <c r="D332" s="2">
        <v>771938</v>
      </c>
      <c r="E332" s="2">
        <v>43373920805.400002</v>
      </c>
      <c r="F332" s="2">
        <v>432.24</v>
      </c>
      <c r="G332" s="2">
        <v>1368940032</v>
      </c>
      <c r="H332" s="2">
        <v>20586.09375</v>
      </c>
      <c r="I332" s="2">
        <v>388.47211769099999</v>
      </c>
      <c r="J332" s="2" t="s">
        <v>2520</v>
      </c>
      <c r="K332" s="2">
        <v>0</v>
      </c>
      <c r="L332" s="2">
        <v>1.834665E-4</v>
      </c>
      <c r="M332" s="2">
        <v>3486660895040000</v>
      </c>
      <c r="N332" s="2">
        <v>332323</v>
      </c>
      <c r="O332" s="2">
        <v>143719298</v>
      </c>
      <c r="P332" s="2">
        <v>5847</v>
      </c>
    </row>
    <row r="333" spans="1:16" x14ac:dyDescent="0.25">
      <c r="A333" s="1">
        <v>43277</v>
      </c>
      <c r="B333" s="2">
        <v>1048187365.12</v>
      </c>
      <c r="C333" s="2">
        <v>1048187365.12</v>
      </c>
      <c r="D333" s="2">
        <v>732170</v>
      </c>
      <c r="E333" s="2">
        <v>46223001270.400002</v>
      </c>
      <c r="F333" s="2">
        <v>460.73</v>
      </c>
      <c r="G333" s="2">
        <v>1356560000</v>
      </c>
      <c r="H333" s="2">
        <v>20640.5625</v>
      </c>
      <c r="I333" s="2">
        <v>388.52845609399998</v>
      </c>
      <c r="J333" s="2" t="s">
        <v>2521</v>
      </c>
      <c r="K333" s="2">
        <v>1.4718941310000001E-2</v>
      </c>
      <c r="L333" s="2">
        <v>1.8391450000000001E-4</v>
      </c>
      <c r="M333" s="2">
        <v>3362826853780000</v>
      </c>
      <c r="N333" s="2">
        <v>346502</v>
      </c>
      <c r="O333" s="2">
        <v>137149795</v>
      </c>
      <c r="P333" s="2">
        <v>5748</v>
      </c>
    </row>
    <row r="334" spans="1:16" x14ac:dyDescent="0.25">
      <c r="A334" s="1">
        <v>43276</v>
      </c>
      <c r="B334" s="2">
        <v>1254154928.1199999</v>
      </c>
      <c r="C334" s="2">
        <v>1254154928.1199999</v>
      </c>
      <c r="D334" s="2">
        <v>837265</v>
      </c>
      <c r="E334" s="2">
        <v>45732834442.199997</v>
      </c>
      <c r="F334" s="2">
        <v>455.94</v>
      </c>
      <c r="G334" s="2">
        <v>4007950080</v>
      </c>
      <c r="H334" s="2">
        <v>20535.75</v>
      </c>
      <c r="I334" s="2">
        <v>527.39686114699998</v>
      </c>
      <c r="J334" s="2" t="s">
        <v>2522</v>
      </c>
      <c r="K334" s="2">
        <v>2.2797000000000001E-2</v>
      </c>
      <c r="L334" s="2">
        <v>2.7300000000000002E-4</v>
      </c>
      <c r="M334" s="2">
        <v>3396680512660000</v>
      </c>
      <c r="N334" s="2">
        <v>377580</v>
      </c>
      <c r="O334" s="2">
        <v>142918020</v>
      </c>
      <c r="P334" s="2">
        <v>5665</v>
      </c>
    </row>
    <row r="335" spans="1:16" x14ac:dyDescent="0.25">
      <c r="A335" s="1">
        <v>43275</v>
      </c>
      <c r="B335" s="2">
        <v>1043127534.17</v>
      </c>
      <c r="C335" s="2">
        <v>1043127534.17</v>
      </c>
      <c r="D335" s="2">
        <v>671994</v>
      </c>
      <c r="E335" s="2">
        <v>47612019254.900002</v>
      </c>
      <c r="F335" s="2">
        <v>474.77</v>
      </c>
      <c r="G335" s="2">
        <v>2490579968</v>
      </c>
      <c r="H335" s="2">
        <v>20356.78125</v>
      </c>
      <c r="I335" s="2">
        <v>514.96292437199997</v>
      </c>
      <c r="J335" s="2" t="s">
        <v>2523</v>
      </c>
      <c r="K335" s="2">
        <v>5.2224699999999999E-2</v>
      </c>
      <c r="L335" s="2">
        <v>1.2180000000000001E-4</v>
      </c>
      <c r="M335" s="2">
        <v>3454860482370000</v>
      </c>
      <c r="N335" s="2">
        <v>329220</v>
      </c>
      <c r="O335" s="2">
        <v>123314242</v>
      </c>
      <c r="P335" s="2">
        <v>5881</v>
      </c>
    </row>
    <row r="336" spans="1:16" x14ac:dyDescent="0.25">
      <c r="A336" s="1">
        <v>43274</v>
      </c>
      <c r="B336" s="2">
        <v>645823632.79700005</v>
      </c>
      <c r="C336" s="2">
        <v>645823632.79700005</v>
      </c>
      <c r="D336" s="2">
        <v>675918</v>
      </c>
      <c r="E336" s="2">
        <v>46749901530.099998</v>
      </c>
      <c r="F336" s="2">
        <v>466.27</v>
      </c>
      <c r="G336" s="2">
        <v>1651379968</v>
      </c>
      <c r="H336" s="2">
        <v>20649.1875</v>
      </c>
      <c r="I336" s="2">
        <v>347.143282742</v>
      </c>
      <c r="J336" s="2" t="s">
        <v>2524</v>
      </c>
      <c r="K336" s="2">
        <v>4.6626999999999999E-5</v>
      </c>
      <c r="L336" s="2">
        <v>1.03238E-4</v>
      </c>
      <c r="M336" s="2">
        <v>3394468864540000</v>
      </c>
      <c r="N336" s="2">
        <v>312564</v>
      </c>
      <c r="O336" s="2">
        <v>121940172</v>
      </c>
      <c r="P336" s="2">
        <v>5922</v>
      </c>
    </row>
    <row r="337" spans="1:16" x14ac:dyDescent="0.25">
      <c r="A337" s="1">
        <v>43273</v>
      </c>
      <c r="B337" s="2">
        <v>1404930854.04</v>
      </c>
      <c r="C337" s="2">
        <v>1404930854.04</v>
      </c>
      <c r="D337" s="2">
        <v>770457</v>
      </c>
      <c r="E337" s="2">
        <v>52846728451.5</v>
      </c>
      <c r="F337" s="2">
        <v>527.19000000000005</v>
      </c>
      <c r="G337" s="2">
        <v>2226030080</v>
      </c>
      <c r="H337" s="2">
        <v>20648.25</v>
      </c>
      <c r="I337" s="2">
        <v>882.17322666300004</v>
      </c>
      <c r="J337" s="2" t="s">
        <v>2525</v>
      </c>
      <c r="K337" s="2">
        <v>6.3262799999999994E-2</v>
      </c>
      <c r="L337" s="2">
        <v>1.8405200000000001E-4</v>
      </c>
      <c r="M337" s="2">
        <v>3428843483300000</v>
      </c>
      <c r="N337" s="2">
        <v>367704</v>
      </c>
      <c r="O337" s="2">
        <v>142592486</v>
      </c>
      <c r="P337" s="2">
        <v>5820</v>
      </c>
    </row>
    <row r="338" spans="1:16" x14ac:dyDescent="0.25">
      <c r="A338" s="1">
        <v>43272</v>
      </c>
      <c r="B338" s="2">
        <v>1074655219.01</v>
      </c>
      <c r="C338" s="2">
        <v>1074655219.01</v>
      </c>
      <c r="D338" s="2">
        <v>752035</v>
      </c>
      <c r="E338" s="2">
        <v>53763934551.699997</v>
      </c>
      <c r="F338" s="2">
        <v>536.45000000000005</v>
      </c>
      <c r="G338" s="2">
        <v>1462070016</v>
      </c>
      <c r="H338" s="2">
        <v>20457.75</v>
      </c>
      <c r="I338" s="2">
        <v>416.03026894499999</v>
      </c>
      <c r="J338" s="2" t="s">
        <v>2526</v>
      </c>
      <c r="K338" s="2">
        <v>5.3644999999999999E-5</v>
      </c>
      <c r="L338" s="2">
        <v>2.0616800000000001E-4</v>
      </c>
      <c r="M338" s="2">
        <v>3456540069280000</v>
      </c>
      <c r="N338" s="2">
        <v>342265</v>
      </c>
      <c r="O338" s="2">
        <v>138145529</v>
      </c>
      <c r="P338" s="2">
        <v>5872</v>
      </c>
    </row>
    <row r="339" spans="1:16" x14ac:dyDescent="0.25">
      <c r="A339" s="1">
        <v>43271</v>
      </c>
      <c r="B339" s="2">
        <v>1224217731.6400001</v>
      </c>
      <c r="C339" s="2">
        <v>1224217731.6400001</v>
      </c>
      <c r="D339" s="2">
        <v>803076</v>
      </c>
      <c r="E339" s="2">
        <v>53959484128.400002</v>
      </c>
      <c r="F339" s="2">
        <v>538.51</v>
      </c>
      <c r="G339" s="2">
        <v>1596290048</v>
      </c>
      <c r="H339" s="2">
        <v>20589.5625</v>
      </c>
      <c r="I339" s="2">
        <v>437.73740776699998</v>
      </c>
      <c r="J339" s="2" t="s">
        <v>2527</v>
      </c>
      <c r="K339" s="2">
        <v>0</v>
      </c>
      <c r="L339" s="2">
        <v>2.1000000000000001E-4</v>
      </c>
      <c r="M339" s="2">
        <v>3375738358060000</v>
      </c>
      <c r="N339" s="2">
        <v>340206</v>
      </c>
      <c r="O339" s="2">
        <v>148993739</v>
      </c>
      <c r="P339" s="2">
        <v>5823</v>
      </c>
    </row>
    <row r="340" spans="1:16" x14ac:dyDescent="0.25">
      <c r="A340" s="1">
        <v>43270</v>
      </c>
      <c r="B340" s="2">
        <v>1054806274.4299999</v>
      </c>
      <c r="C340" s="2">
        <v>1054806274.4299999</v>
      </c>
      <c r="D340" s="2">
        <v>778765</v>
      </c>
      <c r="E340" s="2">
        <v>51995769728.099998</v>
      </c>
      <c r="F340" s="2">
        <v>519.02</v>
      </c>
      <c r="G340" s="2">
        <v>1726569984</v>
      </c>
      <c r="H340" s="2">
        <v>20475.9375</v>
      </c>
      <c r="I340" s="2">
        <v>465.793926425</v>
      </c>
      <c r="J340" s="2" t="s">
        <v>2528</v>
      </c>
      <c r="K340" s="2">
        <v>0</v>
      </c>
      <c r="L340" s="2">
        <v>2.7300000000000002E-4</v>
      </c>
      <c r="M340" s="2">
        <v>3435029512830000</v>
      </c>
      <c r="N340" s="2">
        <v>336081</v>
      </c>
      <c r="O340" s="2">
        <v>145050212</v>
      </c>
      <c r="P340" s="2">
        <v>5802</v>
      </c>
    </row>
    <row r="341" spans="1:16" x14ac:dyDescent="0.25">
      <c r="A341" s="1">
        <v>43269</v>
      </c>
      <c r="B341" s="2">
        <v>886849330.074</v>
      </c>
      <c r="C341" s="2">
        <v>886849330.074</v>
      </c>
      <c r="D341" s="2">
        <v>695753</v>
      </c>
      <c r="E341" s="2">
        <v>50018378892.699997</v>
      </c>
      <c r="F341" s="2">
        <v>499.38</v>
      </c>
      <c r="G341" s="2">
        <v>1513869952</v>
      </c>
      <c r="H341" s="2">
        <v>20617.875</v>
      </c>
      <c r="I341" s="2">
        <v>331.45337020900001</v>
      </c>
      <c r="J341" s="2" t="s">
        <v>2529</v>
      </c>
      <c r="K341" s="2">
        <v>0</v>
      </c>
      <c r="L341" s="2">
        <v>1.8863500000000001E-4</v>
      </c>
      <c r="M341" s="2">
        <v>3397011425170000</v>
      </c>
      <c r="N341" s="2">
        <v>317221</v>
      </c>
      <c r="O341" s="2">
        <v>131428356</v>
      </c>
      <c r="P341" s="2">
        <v>5954</v>
      </c>
    </row>
    <row r="342" spans="1:16" x14ac:dyDescent="0.25">
      <c r="A342" s="1">
        <v>43268</v>
      </c>
      <c r="B342" s="2">
        <v>635723723.11899996</v>
      </c>
      <c r="C342" s="2">
        <v>635723723.11899996</v>
      </c>
      <c r="D342" s="2">
        <v>648548</v>
      </c>
      <c r="E342" s="2">
        <v>50015782968.300003</v>
      </c>
      <c r="F342" s="2">
        <v>499.46</v>
      </c>
      <c r="G342" s="2">
        <v>1264870016</v>
      </c>
      <c r="H342" s="2">
        <v>20422.40625</v>
      </c>
      <c r="I342" s="2">
        <v>310.67391339599999</v>
      </c>
      <c r="J342" s="2" t="s">
        <v>2530</v>
      </c>
      <c r="K342" s="2">
        <v>0</v>
      </c>
      <c r="L342" s="2">
        <v>1.37424E-4</v>
      </c>
      <c r="M342" s="2">
        <v>3295288498610000</v>
      </c>
      <c r="N342" s="2">
        <v>295199</v>
      </c>
      <c r="O342" s="2">
        <v>118108440</v>
      </c>
      <c r="P342" s="2">
        <v>5915</v>
      </c>
    </row>
    <row r="343" spans="1:16" x14ac:dyDescent="0.25">
      <c r="A343" s="1">
        <v>43267</v>
      </c>
      <c r="B343" s="2">
        <v>814015715.23899996</v>
      </c>
      <c r="C343" s="2">
        <v>814015715.23899996</v>
      </c>
      <c r="D343" s="2">
        <v>639775</v>
      </c>
      <c r="E343" s="2">
        <v>49099909957.5</v>
      </c>
      <c r="F343" s="2">
        <v>490.41</v>
      </c>
      <c r="G343" s="2">
        <v>1314109952</v>
      </c>
      <c r="H343" s="2">
        <v>20577.375</v>
      </c>
      <c r="I343" s="2">
        <v>575.569880829</v>
      </c>
      <c r="J343" s="2" t="s">
        <v>2531</v>
      </c>
      <c r="K343" s="2">
        <v>0</v>
      </c>
      <c r="L343" s="2">
        <v>2.1000000000000001E-4</v>
      </c>
      <c r="M343" s="2">
        <v>3293273003280000</v>
      </c>
      <c r="N343" s="2">
        <v>270458</v>
      </c>
      <c r="O343" s="2">
        <v>154717806</v>
      </c>
      <c r="P343" s="2">
        <v>5871</v>
      </c>
    </row>
    <row r="344" spans="1:16" x14ac:dyDescent="0.25">
      <c r="A344" s="1">
        <v>43266</v>
      </c>
      <c r="B344" s="2">
        <v>2088820207.6400001</v>
      </c>
      <c r="C344" s="2">
        <v>2088820207.6400001</v>
      </c>
      <c r="D344" s="2">
        <v>763803</v>
      </c>
      <c r="E344" s="2">
        <v>52100031134.800003</v>
      </c>
      <c r="F344" s="2">
        <v>520.48</v>
      </c>
      <c r="G344" s="2">
        <v>1808269952</v>
      </c>
      <c r="H344" s="2">
        <v>20527.3125</v>
      </c>
      <c r="I344" s="2">
        <v>601.60831948600003</v>
      </c>
      <c r="J344" s="2" t="s">
        <v>2532</v>
      </c>
      <c r="K344" s="2">
        <v>7.1679464639999996E-2</v>
      </c>
      <c r="L344" s="2">
        <v>4.2000000000000002E-4</v>
      </c>
      <c r="M344" s="2">
        <v>3257052453300000</v>
      </c>
      <c r="N344" s="2">
        <v>350721</v>
      </c>
      <c r="O344" s="2">
        <v>130759425</v>
      </c>
      <c r="P344" s="2">
        <v>5782</v>
      </c>
    </row>
    <row r="345" spans="1:16" x14ac:dyDescent="0.25">
      <c r="A345" s="1">
        <v>43265</v>
      </c>
      <c r="B345" s="2">
        <v>2176497313.1900001</v>
      </c>
      <c r="C345" s="2">
        <v>2176497313.1900001</v>
      </c>
      <c r="D345" s="2">
        <v>765916</v>
      </c>
      <c r="E345" s="2">
        <v>47875798649.800003</v>
      </c>
      <c r="F345" s="2">
        <v>478.38</v>
      </c>
      <c r="G345" s="2">
        <v>2458650112</v>
      </c>
      <c r="H345" s="2">
        <v>20492.8125</v>
      </c>
      <c r="I345" s="2">
        <v>523.19281115900003</v>
      </c>
      <c r="J345" s="2" t="s">
        <v>2533</v>
      </c>
      <c r="K345" s="2">
        <v>0.13059773999999999</v>
      </c>
      <c r="L345" s="2">
        <v>3.6785000000000002E-4</v>
      </c>
      <c r="M345" s="2">
        <v>3276912398260000</v>
      </c>
      <c r="N345" s="2">
        <v>368925</v>
      </c>
      <c r="O345" s="2">
        <v>139216504</v>
      </c>
      <c r="P345" s="2">
        <v>5765</v>
      </c>
    </row>
    <row r="346" spans="1:16" x14ac:dyDescent="0.25">
      <c r="A346" s="1">
        <v>43264</v>
      </c>
      <c r="B346" s="2">
        <v>2167936908.4899998</v>
      </c>
      <c r="C346" s="2">
        <v>2167936908.4899998</v>
      </c>
      <c r="D346" s="2">
        <v>797637</v>
      </c>
      <c r="E346" s="2">
        <v>49831361148.800003</v>
      </c>
      <c r="F346" s="2">
        <v>498.02</v>
      </c>
      <c r="G346" s="2">
        <v>2080130048</v>
      </c>
      <c r="H346" s="2">
        <v>20531.15625</v>
      </c>
      <c r="I346" s="2">
        <v>486.76509439799997</v>
      </c>
      <c r="J346" s="2" t="s">
        <v>2534</v>
      </c>
      <c r="K346" s="2">
        <v>0</v>
      </c>
      <c r="L346" s="2">
        <v>3.2214E-4</v>
      </c>
      <c r="M346" s="2">
        <v>3269563082460000</v>
      </c>
      <c r="N346" s="2">
        <v>357178</v>
      </c>
      <c r="O346" s="2">
        <v>146377790</v>
      </c>
      <c r="P346" s="2">
        <v>5752</v>
      </c>
    </row>
    <row r="347" spans="1:16" x14ac:dyDescent="0.25">
      <c r="A347" s="1">
        <v>43263</v>
      </c>
      <c r="B347" s="2">
        <v>1793162619.3900001</v>
      </c>
      <c r="C347" s="2">
        <v>1793162619.3900001</v>
      </c>
      <c r="D347" s="2">
        <v>770199</v>
      </c>
      <c r="E347" s="2">
        <v>53291355820.099998</v>
      </c>
      <c r="F347" s="2">
        <v>532.71</v>
      </c>
      <c r="G347" s="2">
        <v>1932760064</v>
      </c>
      <c r="H347" s="2">
        <v>20591.25</v>
      </c>
      <c r="I347" s="2">
        <v>466.83337361899999</v>
      </c>
      <c r="J347" s="2" t="s">
        <v>2535</v>
      </c>
      <c r="K347" s="2">
        <v>0</v>
      </c>
      <c r="L347" s="2">
        <v>2.7581399999999999E-4</v>
      </c>
      <c r="M347" s="2">
        <v>3333042609660000</v>
      </c>
      <c r="N347" s="2">
        <v>325101</v>
      </c>
      <c r="O347" s="2">
        <v>135316991</v>
      </c>
      <c r="P347" s="2">
        <v>5714</v>
      </c>
    </row>
    <row r="348" spans="1:16" x14ac:dyDescent="0.25">
      <c r="A348" s="1">
        <v>43262</v>
      </c>
      <c r="B348" s="2">
        <v>1262421554</v>
      </c>
      <c r="C348" s="2">
        <v>1262421554</v>
      </c>
      <c r="D348" s="2">
        <v>768985</v>
      </c>
      <c r="E348" s="2">
        <v>52495316829.900002</v>
      </c>
      <c r="F348" s="2">
        <v>524.86</v>
      </c>
      <c r="G348" s="2">
        <v>1982119936</v>
      </c>
      <c r="H348" s="2">
        <v>20814.65625</v>
      </c>
      <c r="I348" s="2">
        <v>473.35763763900002</v>
      </c>
      <c r="J348" s="2" t="s">
        <v>2536</v>
      </c>
      <c r="K348" s="2">
        <v>4.7903972199999999E-2</v>
      </c>
      <c r="L348" s="2">
        <v>2.52E-4</v>
      </c>
      <c r="M348" s="2">
        <v>3235937527060000</v>
      </c>
      <c r="N348" s="2">
        <v>360843</v>
      </c>
      <c r="O348" s="2">
        <v>138427840</v>
      </c>
      <c r="P348" s="2">
        <v>5657</v>
      </c>
    </row>
    <row r="349" spans="1:16" x14ac:dyDescent="0.25">
      <c r="A349" s="1">
        <v>43261</v>
      </c>
      <c r="B349" s="2">
        <v>1242710083.6700001</v>
      </c>
      <c r="C349" s="2">
        <v>1242710083.6700001</v>
      </c>
      <c r="D349" s="2">
        <v>771280</v>
      </c>
      <c r="E349" s="2">
        <v>59431612910.099998</v>
      </c>
      <c r="F349" s="2">
        <v>594.34</v>
      </c>
      <c r="G349" s="2">
        <v>2234880000</v>
      </c>
      <c r="H349" s="2">
        <v>20455.6875</v>
      </c>
      <c r="I349" s="2">
        <v>439.12477345799999</v>
      </c>
      <c r="J349" s="2" t="s">
        <v>2537</v>
      </c>
      <c r="K349" s="2">
        <v>0</v>
      </c>
      <c r="L349" s="2">
        <v>2.362815E-4</v>
      </c>
      <c r="M349" s="2">
        <v>3252140929110000</v>
      </c>
      <c r="N349" s="2">
        <v>333704</v>
      </c>
      <c r="O349" s="2">
        <v>138541069</v>
      </c>
      <c r="P349" s="2">
        <v>5641</v>
      </c>
    </row>
    <row r="350" spans="1:16" x14ac:dyDescent="0.25">
      <c r="A350" s="1">
        <v>43260</v>
      </c>
      <c r="B350" s="2">
        <v>779508876.75800002</v>
      </c>
      <c r="C350" s="2">
        <v>779508876.75800002</v>
      </c>
      <c r="D350" s="2">
        <v>769427</v>
      </c>
      <c r="E350" s="2">
        <v>60076621474.5</v>
      </c>
      <c r="F350" s="2">
        <v>600.91</v>
      </c>
      <c r="G350" s="2">
        <v>1519309952</v>
      </c>
      <c r="H350" s="2">
        <v>20815.78125</v>
      </c>
      <c r="I350" s="2">
        <v>439.16006148000002</v>
      </c>
      <c r="J350" s="2" t="s">
        <v>2538</v>
      </c>
      <c r="K350" s="2">
        <v>0</v>
      </c>
      <c r="L350" s="2">
        <v>2.66455053291E-4</v>
      </c>
      <c r="M350" s="2">
        <v>3303497283700000</v>
      </c>
      <c r="N350" s="2">
        <v>308033</v>
      </c>
      <c r="O350" s="2">
        <v>135556734</v>
      </c>
      <c r="P350" s="2">
        <v>5610</v>
      </c>
    </row>
    <row r="351" spans="1:16" x14ac:dyDescent="0.25">
      <c r="A351" s="1">
        <v>43259</v>
      </c>
      <c r="B351" s="2">
        <v>1548938592.9400001</v>
      </c>
      <c r="C351" s="2">
        <v>1548938592.9400001</v>
      </c>
      <c r="D351" s="2">
        <v>720017</v>
      </c>
      <c r="E351" s="2">
        <v>60516410173.300003</v>
      </c>
      <c r="F351" s="2">
        <v>605.44000000000005</v>
      </c>
      <c r="G351" s="2">
        <v>1637779968</v>
      </c>
      <c r="H351" s="2">
        <v>20691.5625</v>
      </c>
      <c r="I351" s="2">
        <v>547.89082972100005</v>
      </c>
      <c r="J351" s="2" t="s">
        <v>2539</v>
      </c>
      <c r="K351" s="2">
        <v>0</v>
      </c>
      <c r="L351" s="2">
        <v>3.7884000000000003E-4</v>
      </c>
      <c r="M351" s="2">
        <v>3196858025450000</v>
      </c>
      <c r="N351" s="2">
        <v>320595</v>
      </c>
      <c r="O351" s="2">
        <v>139209862</v>
      </c>
      <c r="P351" s="2">
        <v>5679</v>
      </c>
    </row>
    <row r="352" spans="1:16" x14ac:dyDescent="0.25">
      <c r="A352" s="1">
        <v>43258</v>
      </c>
      <c r="B352" s="2">
        <v>1429751086.54</v>
      </c>
      <c r="C352" s="2">
        <v>1429751086.54</v>
      </c>
      <c r="D352" s="2">
        <v>775828</v>
      </c>
      <c r="E352" s="2">
        <v>60728713659.400002</v>
      </c>
      <c r="F352" s="2">
        <v>607.69000000000005</v>
      </c>
      <c r="G352" s="2">
        <v>1880140032</v>
      </c>
      <c r="H352" s="2">
        <v>20803.5</v>
      </c>
      <c r="I352" s="2">
        <v>631.62954732499998</v>
      </c>
      <c r="J352" s="2" t="s">
        <v>2540</v>
      </c>
      <c r="K352" s="2">
        <v>0</v>
      </c>
      <c r="L352" s="2">
        <v>4.2000000000000002E-4</v>
      </c>
      <c r="M352" s="2">
        <v>3161717646140000</v>
      </c>
      <c r="N352" s="2">
        <v>347338</v>
      </c>
      <c r="O352" s="2">
        <v>137499719</v>
      </c>
      <c r="P352" s="2">
        <v>5639</v>
      </c>
    </row>
    <row r="353" spans="1:16" x14ac:dyDescent="0.25">
      <c r="A353" s="1">
        <v>43257</v>
      </c>
      <c r="B353" s="2">
        <v>1567740873.1300001</v>
      </c>
      <c r="C353" s="2">
        <v>1567740873.1300001</v>
      </c>
      <c r="D353" s="2">
        <v>754070</v>
      </c>
      <c r="E353" s="2">
        <v>60973572885.300003</v>
      </c>
      <c r="F353" s="2">
        <v>610.26</v>
      </c>
      <c r="G353" s="2">
        <v>1756530048</v>
      </c>
      <c r="H353" s="2">
        <v>20625.84375</v>
      </c>
      <c r="I353" s="2">
        <v>809.11851277400001</v>
      </c>
      <c r="J353" s="2" t="s">
        <v>2541</v>
      </c>
      <c r="K353" s="2">
        <v>0.18598094579400001</v>
      </c>
      <c r="L353" s="2">
        <v>4.639143E-4</v>
      </c>
      <c r="M353" s="2">
        <v>3163392940790000</v>
      </c>
      <c r="N353" s="2">
        <v>333878</v>
      </c>
      <c r="O353" s="2">
        <v>137310031</v>
      </c>
      <c r="P353" s="2">
        <v>5633</v>
      </c>
    </row>
    <row r="354" spans="1:16" x14ac:dyDescent="0.25">
      <c r="A354" s="1">
        <v>43256</v>
      </c>
      <c r="B354" s="2">
        <v>1383328471.7</v>
      </c>
      <c r="C354" s="2">
        <v>1383328471.7</v>
      </c>
      <c r="D354" s="2">
        <v>780654</v>
      </c>
      <c r="E354" s="2">
        <v>59277676048.199997</v>
      </c>
      <c r="F354" s="2">
        <v>593.41</v>
      </c>
      <c r="G354" s="2">
        <v>1844269952</v>
      </c>
      <c r="H354" s="2">
        <v>20343.84375</v>
      </c>
      <c r="I354" s="2">
        <v>634.67330581399995</v>
      </c>
      <c r="J354" s="2" t="s">
        <v>2542</v>
      </c>
      <c r="K354" s="2">
        <v>5.9341E-5</v>
      </c>
      <c r="L354" s="2">
        <v>4.4102399999999998E-4</v>
      </c>
      <c r="M354" s="2">
        <v>3232844547070000</v>
      </c>
      <c r="N354" s="2">
        <v>355649</v>
      </c>
      <c r="O354" s="2">
        <v>144514502</v>
      </c>
      <c r="P354" s="2">
        <v>5591</v>
      </c>
    </row>
    <row r="355" spans="1:16" x14ac:dyDescent="0.25">
      <c r="A355" s="1">
        <v>43255</v>
      </c>
      <c r="B355" s="2">
        <v>1369044909.48</v>
      </c>
      <c r="C355" s="2">
        <v>1369044909.48</v>
      </c>
      <c r="D355" s="2">
        <v>807165</v>
      </c>
      <c r="E355" s="2">
        <v>61865521596.400002</v>
      </c>
      <c r="F355" s="2">
        <v>619.44000000000005</v>
      </c>
      <c r="G355" s="2">
        <v>1903430016</v>
      </c>
      <c r="H355" s="2">
        <v>20805.1875</v>
      </c>
      <c r="I355" s="2">
        <v>738.62097418400003</v>
      </c>
      <c r="J355" s="2" t="s">
        <v>2543</v>
      </c>
      <c r="K355" s="2">
        <v>7.4332800000000004E-2</v>
      </c>
      <c r="L355" s="2">
        <v>4.7938990000000002E-4</v>
      </c>
      <c r="M355" s="2">
        <v>3159146670310000</v>
      </c>
      <c r="N355" s="2">
        <v>368231</v>
      </c>
      <c r="O355" s="2">
        <v>149892618</v>
      </c>
      <c r="P355" s="2">
        <v>5672</v>
      </c>
    </row>
    <row r="356" spans="1:16" x14ac:dyDescent="0.25">
      <c r="A356" s="1">
        <v>43254</v>
      </c>
      <c r="B356" s="2">
        <v>736758059.76999998</v>
      </c>
      <c r="C356" s="2">
        <v>736758059.76999998</v>
      </c>
      <c r="D356" s="2">
        <v>809997</v>
      </c>
      <c r="E356" s="2">
        <v>59037857332.900002</v>
      </c>
      <c r="F356" s="2">
        <v>591.26</v>
      </c>
      <c r="G356" s="2">
        <v>1832550016</v>
      </c>
      <c r="H356" s="2">
        <v>20484.65625</v>
      </c>
      <c r="I356" s="2">
        <v>590.89460153499999</v>
      </c>
      <c r="J356" s="2" t="s">
        <v>2544</v>
      </c>
      <c r="K356" s="2">
        <v>0</v>
      </c>
      <c r="L356" s="2">
        <v>4.0438125000000002E-4</v>
      </c>
      <c r="M356" s="2">
        <v>3202592901100000</v>
      </c>
      <c r="N356" s="2">
        <v>325439</v>
      </c>
      <c r="O356" s="2">
        <v>140906916</v>
      </c>
      <c r="P356" s="2">
        <v>5619</v>
      </c>
    </row>
    <row r="357" spans="1:16" x14ac:dyDescent="0.25">
      <c r="A357" s="1">
        <v>43253</v>
      </c>
      <c r="B357" s="2">
        <v>832133689.33099997</v>
      </c>
      <c r="C357" s="2">
        <v>832133689.33099997</v>
      </c>
      <c r="D357" s="2">
        <v>768017</v>
      </c>
      <c r="E357" s="2">
        <v>57944805336.699997</v>
      </c>
      <c r="F357" s="2">
        <v>580.42999999999995</v>
      </c>
      <c r="G357" s="2">
        <v>1880390016</v>
      </c>
      <c r="H357" s="2">
        <v>20712</v>
      </c>
      <c r="I357" s="2">
        <v>602.95139884699995</v>
      </c>
      <c r="J357" s="2" t="s">
        <v>2545</v>
      </c>
      <c r="K357" s="2">
        <v>0</v>
      </c>
      <c r="L357" s="2">
        <v>4.0502000000000002E-4</v>
      </c>
      <c r="M357" s="2">
        <v>3194128918520000</v>
      </c>
      <c r="N357" s="2">
        <v>336803</v>
      </c>
      <c r="O357" s="2">
        <v>138640228</v>
      </c>
      <c r="P357" s="2">
        <v>5632</v>
      </c>
    </row>
    <row r="358" spans="1:16" x14ac:dyDescent="0.25">
      <c r="A358" s="1">
        <v>43252</v>
      </c>
      <c r="B358" s="2">
        <v>1852143513.4200001</v>
      </c>
      <c r="C358" s="2">
        <v>1852143513.4200001</v>
      </c>
      <c r="D358" s="2">
        <v>758242</v>
      </c>
      <c r="E358" s="2">
        <v>57757609564.599998</v>
      </c>
      <c r="F358" s="2">
        <v>578.66999999999996</v>
      </c>
      <c r="G358" s="2">
        <v>1945890048</v>
      </c>
      <c r="H358" s="2">
        <v>20559.65625</v>
      </c>
      <c r="I358" s="2">
        <v>875.76346159499997</v>
      </c>
      <c r="J358" s="2" t="s">
        <v>2546</v>
      </c>
      <c r="K358" s="2">
        <v>0.23146800000000001</v>
      </c>
      <c r="L358" s="2">
        <v>5.8799999999999998E-4</v>
      </c>
      <c r="M358" s="2">
        <v>3151675292920000</v>
      </c>
      <c r="N358" s="2">
        <v>362322</v>
      </c>
      <c r="O358" s="2">
        <v>141328739</v>
      </c>
      <c r="P358" s="2">
        <v>5624</v>
      </c>
    </row>
    <row r="359" spans="1:16" x14ac:dyDescent="0.25">
      <c r="A359" s="1">
        <v>43251</v>
      </c>
      <c r="B359" s="2">
        <v>1442759674.74</v>
      </c>
      <c r="C359" s="2">
        <v>1442759674.74</v>
      </c>
      <c r="D359" s="2">
        <v>832842</v>
      </c>
      <c r="E359" s="2">
        <v>55732178695.900002</v>
      </c>
      <c r="F359" s="2">
        <v>558.5</v>
      </c>
      <c r="G359" s="2">
        <v>1985040000</v>
      </c>
      <c r="H359" s="2">
        <v>20744.0625</v>
      </c>
      <c r="I359" s="2">
        <v>1073.9313599699999</v>
      </c>
      <c r="J359" s="2" t="s">
        <v>2547</v>
      </c>
      <c r="K359" s="2">
        <v>0.73236775200000004</v>
      </c>
      <c r="L359" s="2">
        <v>6.4439264631000002E-4</v>
      </c>
      <c r="M359" s="2">
        <v>3249295320500000</v>
      </c>
      <c r="N359" s="2">
        <v>379999</v>
      </c>
      <c r="O359" s="2">
        <v>154932441</v>
      </c>
      <c r="P359" s="2">
        <v>5647</v>
      </c>
    </row>
    <row r="360" spans="1:16" x14ac:dyDescent="0.25">
      <c r="A360" s="1">
        <v>43250</v>
      </c>
      <c r="B360" s="2">
        <v>1372810658.05</v>
      </c>
      <c r="C360" s="2">
        <v>1372810658.05</v>
      </c>
      <c r="D360" s="2">
        <v>817167</v>
      </c>
      <c r="E360" s="2">
        <v>56552138348.699997</v>
      </c>
      <c r="F360" s="2">
        <v>566.83000000000004</v>
      </c>
      <c r="G360" s="2">
        <v>2053970048</v>
      </c>
      <c r="H360" s="2">
        <v>20679.65625</v>
      </c>
      <c r="I360" s="2">
        <v>867.284349851</v>
      </c>
      <c r="J360" s="2" t="s">
        <v>2548</v>
      </c>
      <c r="K360" s="2">
        <v>0.45346399999999998</v>
      </c>
      <c r="L360" s="2">
        <v>5.5092038546499997E-4</v>
      </c>
      <c r="M360" s="2">
        <v>3177263898670000</v>
      </c>
      <c r="N360" s="2">
        <v>376568</v>
      </c>
      <c r="O360" s="2">
        <v>143075140</v>
      </c>
      <c r="P360" s="2">
        <v>5609</v>
      </c>
    </row>
    <row r="361" spans="1:16" x14ac:dyDescent="0.25">
      <c r="A361" s="1">
        <v>43249</v>
      </c>
      <c r="B361" s="2">
        <v>1518486426.8900001</v>
      </c>
      <c r="C361" s="2">
        <v>1518486426.8900001</v>
      </c>
      <c r="D361" s="2">
        <v>812183</v>
      </c>
      <c r="E361" s="2">
        <v>51484990393.599998</v>
      </c>
      <c r="F361" s="2">
        <v>516.15</v>
      </c>
      <c r="G361" s="2">
        <v>2330820096</v>
      </c>
      <c r="H361" s="2">
        <v>20649.375</v>
      </c>
      <c r="I361" s="2">
        <v>825.68026377199999</v>
      </c>
      <c r="J361" s="2" t="s">
        <v>2549</v>
      </c>
      <c r="K361" s="2">
        <v>0</v>
      </c>
      <c r="L361" s="2">
        <v>5.3922400000000004E-4</v>
      </c>
      <c r="M361" s="2">
        <v>3218952939950000</v>
      </c>
      <c r="N361" s="2">
        <v>360540</v>
      </c>
      <c r="O361" s="2">
        <v>143102184</v>
      </c>
      <c r="P361" s="2">
        <v>5649</v>
      </c>
    </row>
    <row r="362" spans="1:16" x14ac:dyDescent="0.25">
      <c r="A362" s="1">
        <v>43248</v>
      </c>
      <c r="B362" s="2">
        <v>1760411578.95</v>
      </c>
      <c r="C362" s="2">
        <v>1760411578.95</v>
      </c>
      <c r="D362" s="2">
        <v>861002</v>
      </c>
      <c r="E362" s="2">
        <v>57147588448.800003</v>
      </c>
      <c r="F362" s="2">
        <v>573.04</v>
      </c>
      <c r="G362" s="2">
        <v>2356900096</v>
      </c>
      <c r="H362" s="2">
        <v>20672.53125</v>
      </c>
      <c r="I362" s="2">
        <v>862.659407171</v>
      </c>
      <c r="J362" s="2" t="s">
        <v>2550</v>
      </c>
      <c r="K362" s="2">
        <v>0.57303999999999999</v>
      </c>
      <c r="L362" s="2">
        <v>4.8402900000000002E-4</v>
      </c>
      <c r="M362" s="2">
        <v>3232392035790000</v>
      </c>
      <c r="N362" s="2">
        <v>414516</v>
      </c>
      <c r="O362" s="2">
        <v>144962259</v>
      </c>
      <c r="P362" s="2">
        <v>5704</v>
      </c>
    </row>
    <row r="363" spans="1:16" x14ac:dyDescent="0.25">
      <c r="A363" s="1">
        <v>43247</v>
      </c>
      <c r="B363" s="2">
        <v>1497359535.9400001</v>
      </c>
      <c r="C363" s="2">
        <v>1497359535.9400001</v>
      </c>
      <c r="D363" s="2">
        <v>776024</v>
      </c>
      <c r="E363" s="2">
        <v>58679424252</v>
      </c>
      <c r="F363" s="2">
        <v>588.52</v>
      </c>
      <c r="G363" s="2">
        <v>1788790016</v>
      </c>
      <c r="H363" s="2">
        <v>20422.6875</v>
      </c>
      <c r="I363" s="2">
        <v>546.71870571299996</v>
      </c>
      <c r="J363" s="2" t="s">
        <v>2551</v>
      </c>
      <c r="K363" s="2">
        <v>0</v>
      </c>
      <c r="L363" s="2">
        <v>3.3530399999999997E-4</v>
      </c>
      <c r="M363" s="2">
        <v>3215113696440000</v>
      </c>
      <c r="N363" s="2">
        <v>334223</v>
      </c>
      <c r="O363" s="2">
        <v>132382504</v>
      </c>
      <c r="P363" s="2">
        <v>5634</v>
      </c>
    </row>
    <row r="364" spans="1:16" x14ac:dyDescent="0.25">
      <c r="A364" s="1">
        <v>43246</v>
      </c>
      <c r="B364" s="2">
        <v>853640867.02100003</v>
      </c>
      <c r="C364" s="2">
        <v>853640867.02100003</v>
      </c>
      <c r="D364" s="2">
        <v>761932</v>
      </c>
      <c r="E364" s="2">
        <v>58558969488.900002</v>
      </c>
      <c r="F364" s="2">
        <v>587.42999999999995</v>
      </c>
      <c r="G364" s="2">
        <v>1694300032</v>
      </c>
      <c r="H364" s="2">
        <v>20713.03125</v>
      </c>
      <c r="I364" s="2">
        <v>596.38480436899999</v>
      </c>
      <c r="J364" s="2" t="s">
        <v>2552</v>
      </c>
      <c r="K364" s="2">
        <v>0</v>
      </c>
      <c r="L364" s="2">
        <v>3.723291E-4</v>
      </c>
      <c r="M364" s="2">
        <v>3253127775670000</v>
      </c>
      <c r="N364" s="2">
        <v>318753</v>
      </c>
      <c r="O364" s="2">
        <v>131838044</v>
      </c>
      <c r="P364" s="2">
        <v>5719</v>
      </c>
    </row>
    <row r="365" spans="1:16" x14ac:dyDescent="0.25">
      <c r="A365" s="1">
        <v>43245</v>
      </c>
      <c r="B365" s="2">
        <v>1198626556.04</v>
      </c>
      <c r="C365" s="2">
        <v>1198626556.04</v>
      </c>
      <c r="D365" s="2">
        <v>800838</v>
      </c>
      <c r="E365" s="2">
        <v>60013304046.099998</v>
      </c>
      <c r="F365" s="2">
        <v>602.14</v>
      </c>
      <c r="G365" s="2">
        <v>2110919936</v>
      </c>
      <c r="H365" s="2">
        <v>20646.46875</v>
      </c>
      <c r="I365" s="2">
        <v>688.27823328900001</v>
      </c>
      <c r="J365" s="2" t="s">
        <v>2553</v>
      </c>
      <c r="K365" s="2">
        <v>5.3470032000000004E-3</v>
      </c>
      <c r="L365" s="2">
        <v>4.2000000000000002E-4</v>
      </c>
      <c r="M365" s="2">
        <v>3202991669730000</v>
      </c>
      <c r="N365" s="2">
        <v>365892</v>
      </c>
      <c r="O365" s="2">
        <v>140479317</v>
      </c>
      <c r="P365" s="2">
        <v>5635</v>
      </c>
    </row>
    <row r="366" spans="1:16" x14ac:dyDescent="0.25">
      <c r="A366" s="1">
        <v>43244</v>
      </c>
      <c r="B366" s="2">
        <v>1715188971.46</v>
      </c>
      <c r="C366" s="2">
        <v>1715188971.46</v>
      </c>
      <c r="D366" s="2">
        <v>811167</v>
      </c>
      <c r="E366" s="2">
        <v>58246215440.199997</v>
      </c>
      <c r="F366" s="2">
        <v>584.54</v>
      </c>
      <c r="G366" s="2">
        <v>2791099904</v>
      </c>
      <c r="H366" s="2">
        <v>20350.40625</v>
      </c>
      <c r="I366" s="2">
        <v>718.82139805899999</v>
      </c>
      <c r="J366" s="2" t="s">
        <v>2554</v>
      </c>
      <c r="K366" s="2">
        <v>0.35072399999999998</v>
      </c>
      <c r="L366" s="2">
        <v>4.6200000000000001E-4</v>
      </c>
      <c r="M366" s="2">
        <v>3223610066320000</v>
      </c>
      <c r="N366" s="2">
        <v>375755</v>
      </c>
      <c r="O366" s="2">
        <v>141675376</v>
      </c>
      <c r="P366" s="2">
        <v>5563</v>
      </c>
    </row>
    <row r="367" spans="1:16" x14ac:dyDescent="0.25">
      <c r="A367" s="1">
        <v>43243</v>
      </c>
      <c r="B367" s="2">
        <v>1934138504.49</v>
      </c>
      <c r="C367" s="2">
        <v>1934138504.49</v>
      </c>
      <c r="D367" s="2">
        <v>833377</v>
      </c>
      <c r="E367" s="2">
        <v>64423959190.199997</v>
      </c>
      <c r="F367" s="2">
        <v>646.66999999999996</v>
      </c>
      <c r="G367" s="2">
        <v>2995429888</v>
      </c>
      <c r="H367" s="2">
        <v>20889.1875</v>
      </c>
      <c r="I367" s="2">
        <v>780.87032668699999</v>
      </c>
      <c r="J367" s="2" t="s">
        <v>2555</v>
      </c>
      <c r="K367" s="2">
        <v>0.38800200000000001</v>
      </c>
      <c r="L367" s="2">
        <v>4.4931251264E-4</v>
      </c>
      <c r="M367" s="2">
        <v>3252172526470000</v>
      </c>
      <c r="N367" s="2">
        <v>401470</v>
      </c>
      <c r="O367" s="2">
        <v>146831736</v>
      </c>
      <c r="P367" s="2">
        <v>5655</v>
      </c>
    </row>
    <row r="368" spans="1:16" x14ac:dyDescent="0.25">
      <c r="A368" s="1">
        <v>43242</v>
      </c>
      <c r="B368" s="2">
        <v>1836465050.8299999</v>
      </c>
      <c r="C368" s="2">
        <v>1836465050.8299999</v>
      </c>
      <c r="D368" s="2">
        <v>822409</v>
      </c>
      <c r="E368" s="2">
        <v>69740910803.100006</v>
      </c>
      <c r="F368" s="2">
        <v>700.18</v>
      </c>
      <c r="G368" s="2">
        <v>2230469888</v>
      </c>
      <c r="H368" s="2">
        <v>20527.6875</v>
      </c>
      <c r="I368" s="2">
        <v>769.99811096899998</v>
      </c>
      <c r="J368" s="2" t="s">
        <v>2556</v>
      </c>
      <c r="K368" s="2">
        <v>0</v>
      </c>
      <c r="L368" s="2">
        <v>4.8299999999999998E-4</v>
      </c>
      <c r="M368" s="2">
        <v>3323281414040000</v>
      </c>
      <c r="N368" s="2">
        <v>370307</v>
      </c>
      <c r="O368" s="2">
        <v>141851150</v>
      </c>
      <c r="P368" s="2">
        <v>5601</v>
      </c>
    </row>
    <row r="369" spans="1:16" x14ac:dyDescent="0.25">
      <c r="A369" s="1">
        <v>43241</v>
      </c>
      <c r="B369" s="2">
        <v>1314722124.21</v>
      </c>
      <c r="C369" s="2">
        <v>1314722124.21</v>
      </c>
      <c r="D369" s="2">
        <v>802211</v>
      </c>
      <c r="E369" s="2">
        <v>71420554714.600006</v>
      </c>
      <c r="F369" s="2">
        <v>717.19</v>
      </c>
      <c r="G369" s="2">
        <v>2005170048</v>
      </c>
      <c r="H369" s="2">
        <v>20708.90625</v>
      </c>
      <c r="I369" s="2">
        <v>683.18882493900003</v>
      </c>
      <c r="J369" s="2" t="s">
        <v>2557</v>
      </c>
      <c r="K369" s="2">
        <v>0.38728259999999998</v>
      </c>
      <c r="L369" s="2">
        <v>4.18584E-4</v>
      </c>
      <c r="M369" s="2">
        <v>3341722032930000</v>
      </c>
      <c r="N369" s="2">
        <v>365251</v>
      </c>
      <c r="O369" s="2">
        <v>145475141</v>
      </c>
      <c r="P369" s="2">
        <v>5687</v>
      </c>
    </row>
    <row r="370" spans="1:16" x14ac:dyDescent="0.25">
      <c r="A370" s="1">
        <v>43240</v>
      </c>
      <c r="B370" s="2">
        <v>968360540.75999999</v>
      </c>
      <c r="C370" s="2">
        <v>968360540.75999999</v>
      </c>
      <c r="D370" s="2">
        <v>777283</v>
      </c>
      <c r="E370" s="2">
        <v>69486843058</v>
      </c>
      <c r="F370" s="2">
        <v>697.92</v>
      </c>
      <c r="G370" s="2">
        <v>2156910080</v>
      </c>
      <c r="H370" s="2">
        <v>20657.8125</v>
      </c>
      <c r="I370" s="2">
        <v>604.61580685199999</v>
      </c>
      <c r="J370" s="2" t="s">
        <v>2558</v>
      </c>
      <c r="K370" s="2">
        <v>0</v>
      </c>
      <c r="L370" s="2">
        <v>3.9407831999999999E-4</v>
      </c>
      <c r="M370" s="2">
        <v>3307964523990000</v>
      </c>
      <c r="N370" s="2">
        <v>328397</v>
      </c>
      <c r="O370" s="2">
        <v>134050623</v>
      </c>
      <c r="P370" s="2">
        <v>5642</v>
      </c>
    </row>
    <row r="371" spans="1:16" x14ac:dyDescent="0.25">
      <c r="A371" s="1">
        <v>43239</v>
      </c>
      <c r="B371" s="2">
        <v>923069866.36699998</v>
      </c>
      <c r="C371" s="2">
        <v>923069866.36699998</v>
      </c>
      <c r="D371" s="2">
        <v>846288</v>
      </c>
      <c r="E371" s="2">
        <v>69188816154.699997</v>
      </c>
      <c r="F371" s="2">
        <v>695.07</v>
      </c>
      <c r="G371" s="2">
        <v>2021549952</v>
      </c>
      <c r="H371" s="2">
        <v>20709.375</v>
      </c>
      <c r="I371" s="2">
        <v>663.30393789000004</v>
      </c>
      <c r="J371" s="2" t="s">
        <v>2559</v>
      </c>
      <c r="K371" s="2">
        <v>0</v>
      </c>
      <c r="L371" s="2">
        <v>3.7329000000000003E-4</v>
      </c>
      <c r="M371" s="2">
        <v>3250211728820000</v>
      </c>
      <c r="N371" s="2">
        <v>376917</v>
      </c>
      <c r="O371" s="2">
        <v>137044728</v>
      </c>
      <c r="P371" s="2">
        <v>5603</v>
      </c>
    </row>
    <row r="372" spans="1:16" x14ac:dyDescent="0.25">
      <c r="A372" s="1">
        <v>43238</v>
      </c>
      <c r="B372" s="2">
        <v>1258945414.2</v>
      </c>
      <c r="C372" s="2">
        <v>1258945414.2</v>
      </c>
      <c r="D372" s="2">
        <v>831831</v>
      </c>
      <c r="E372" s="2">
        <v>66888121284.199997</v>
      </c>
      <c r="F372" s="2">
        <v>672.1</v>
      </c>
      <c r="G372" s="2">
        <v>2305740032</v>
      </c>
      <c r="H372" s="2">
        <v>20695.59375</v>
      </c>
      <c r="I372" s="2">
        <v>747.66040248900003</v>
      </c>
      <c r="J372" s="2" t="s">
        <v>2560</v>
      </c>
      <c r="K372" s="2">
        <v>0.59146278620000003</v>
      </c>
      <c r="L372" s="2">
        <v>4.5092599999999999E-4</v>
      </c>
      <c r="M372" s="2">
        <v>3236627209020000</v>
      </c>
      <c r="N372" s="2">
        <v>390094</v>
      </c>
      <c r="O372" s="2">
        <v>138888487</v>
      </c>
      <c r="P372" s="2">
        <v>5636</v>
      </c>
    </row>
    <row r="373" spans="1:16" x14ac:dyDescent="0.25">
      <c r="A373" s="1">
        <v>43237</v>
      </c>
      <c r="B373" s="2">
        <v>1425719227.26</v>
      </c>
      <c r="C373" s="2">
        <v>1425719227.26</v>
      </c>
      <c r="D373" s="2">
        <v>835761</v>
      </c>
      <c r="E373" s="2">
        <v>70517923011.800003</v>
      </c>
      <c r="F373" s="2">
        <v>708.72</v>
      </c>
      <c r="G373" s="2">
        <v>2350619904</v>
      </c>
      <c r="H373" s="2">
        <v>20649.65625</v>
      </c>
      <c r="I373" s="2">
        <v>790.21056243500004</v>
      </c>
      <c r="J373" s="2" t="s">
        <v>2561</v>
      </c>
      <c r="K373" s="2">
        <v>0.425232</v>
      </c>
      <c r="L373" s="2">
        <v>4.5242399999999999E-4</v>
      </c>
      <c r="M373" s="2">
        <v>3280925637940000</v>
      </c>
      <c r="N373" s="2">
        <v>372253</v>
      </c>
      <c r="O373" s="2">
        <v>140366383</v>
      </c>
      <c r="P373" s="2">
        <v>5704</v>
      </c>
    </row>
    <row r="374" spans="1:16" x14ac:dyDescent="0.25">
      <c r="A374" s="1">
        <v>43236</v>
      </c>
      <c r="B374" s="2">
        <v>1332239039.6500001</v>
      </c>
      <c r="C374" s="2">
        <v>1332239039.6500001</v>
      </c>
      <c r="D374" s="2">
        <v>807257</v>
      </c>
      <c r="E374" s="2">
        <v>70440905475.899994</v>
      </c>
      <c r="F374" s="2">
        <v>708.09</v>
      </c>
      <c r="G374" s="2">
        <v>2476130048</v>
      </c>
      <c r="H374" s="2">
        <v>20434.96875</v>
      </c>
      <c r="I374" s="2">
        <v>718.12604967799996</v>
      </c>
      <c r="J374" s="2" t="s">
        <v>2562</v>
      </c>
      <c r="K374" s="2">
        <v>0.27113474189999998</v>
      </c>
      <c r="L374" s="2">
        <v>4.2000000000000002E-4</v>
      </c>
      <c r="M374" s="2">
        <v>3286345183560000</v>
      </c>
      <c r="N374" s="2">
        <v>360209</v>
      </c>
      <c r="O374" s="2">
        <v>139676937</v>
      </c>
      <c r="P374" s="2">
        <v>5645</v>
      </c>
    </row>
    <row r="375" spans="1:16" x14ac:dyDescent="0.25">
      <c r="A375" s="1">
        <v>43235</v>
      </c>
      <c r="B375" s="2">
        <v>1587210506.74</v>
      </c>
      <c r="C375" s="2">
        <v>1587210506.74</v>
      </c>
      <c r="D375" s="2">
        <v>779210</v>
      </c>
      <c r="E375" s="2">
        <v>72719081259.399994</v>
      </c>
      <c r="F375" s="2">
        <v>731.14</v>
      </c>
      <c r="G375" s="2">
        <v>2523069952</v>
      </c>
      <c r="H375" s="2">
        <v>20565.375</v>
      </c>
      <c r="I375" s="2">
        <v>673.49836694700002</v>
      </c>
      <c r="J375" s="2" t="s">
        <v>2563</v>
      </c>
      <c r="K375" s="2">
        <v>0.3801928</v>
      </c>
      <c r="L375" s="2">
        <v>4.3628900000000002E-4</v>
      </c>
      <c r="M375" s="2">
        <v>3262634125330000</v>
      </c>
      <c r="N375" s="2">
        <v>361356</v>
      </c>
      <c r="O375" s="2">
        <v>142106913</v>
      </c>
      <c r="P375" s="2">
        <v>5732</v>
      </c>
    </row>
    <row r="376" spans="1:16" x14ac:dyDescent="0.25">
      <c r="A376" s="1">
        <v>43234</v>
      </c>
      <c r="B376" s="2">
        <v>2025383385.02</v>
      </c>
      <c r="C376" s="2">
        <v>2025383385.02</v>
      </c>
      <c r="D376" s="2">
        <v>801788</v>
      </c>
      <c r="E376" s="2">
        <v>72861958786.399994</v>
      </c>
      <c r="F376" s="2">
        <v>732.73</v>
      </c>
      <c r="G376" s="2">
        <v>3005110016</v>
      </c>
      <c r="H376" s="2">
        <v>20394.46875</v>
      </c>
      <c r="I376" s="2">
        <v>667.49352252100005</v>
      </c>
      <c r="J376" s="2" t="s">
        <v>2564</v>
      </c>
      <c r="K376" s="2">
        <v>2.1981899999999999</v>
      </c>
      <c r="L376" s="2">
        <v>4.1540000000000001E-4</v>
      </c>
      <c r="M376" s="2">
        <v>3322168916530000</v>
      </c>
      <c r="N376" s="2">
        <v>394159</v>
      </c>
      <c r="O376" s="2">
        <v>146202108</v>
      </c>
      <c r="P376" s="2">
        <v>5638</v>
      </c>
    </row>
    <row r="377" spans="1:16" x14ac:dyDescent="0.25">
      <c r="A377" s="1">
        <v>43233</v>
      </c>
      <c r="B377" s="2">
        <v>936613045.28199995</v>
      </c>
      <c r="C377" s="2">
        <v>936613045.28199995</v>
      </c>
      <c r="D377" s="2">
        <v>762439</v>
      </c>
      <c r="E377" s="2">
        <v>68317231118</v>
      </c>
      <c r="F377" s="2">
        <v>687.17</v>
      </c>
      <c r="G377" s="2">
        <v>2362500096</v>
      </c>
      <c r="H377" s="2">
        <v>20442.5625</v>
      </c>
      <c r="I377" s="2">
        <v>522.06387081900004</v>
      </c>
      <c r="J377" s="2" t="s">
        <v>2565</v>
      </c>
      <c r="K377" s="2">
        <v>5.4973599999999997E-2</v>
      </c>
      <c r="L377" s="2">
        <v>3.1208400000000002E-4</v>
      </c>
      <c r="M377" s="2">
        <v>3397010186970000</v>
      </c>
      <c r="N377" s="2">
        <v>347663</v>
      </c>
      <c r="O377" s="2">
        <v>135474754</v>
      </c>
      <c r="P377" s="2">
        <v>5760</v>
      </c>
    </row>
    <row r="378" spans="1:16" x14ac:dyDescent="0.25">
      <c r="A378" s="1">
        <v>43232</v>
      </c>
      <c r="B378" s="2">
        <v>1216852954.8800001</v>
      </c>
      <c r="C378" s="2">
        <v>1216852954.8800001</v>
      </c>
      <c r="D378" s="2">
        <v>788487</v>
      </c>
      <c r="E378" s="2">
        <v>67578742523.199997</v>
      </c>
      <c r="F378" s="2">
        <v>679.88</v>
      </c>
      <c r="G378" s="2">
        <v>2668480000</v>
      </c>
      <c r="H378" s="2">
        <v>20610.9375</v>
      </c>
      <c r="I378" s="2">
        <v>498.47945773599997</v>
      </c>
      <c r="J378" s="2" t="s">
        <v>2566</v>
      </c>
      <c r="K378" s="2">
        <v>0</v>
      </c>
      <c r="L378" s="2">
        <v>2.27913E-4</v>
      </c>
      <c r="M378" s="2">
        <v>3367082076480000</v>
      </c>
      <c r="N378" s="2">
        <v>348935</v>
      </c>
      <c r="O378" s="2">
        <v>136668318</v>
      </c>
      <c r="P378" s="2">
        <v>5754</v>
      </c>
    </row>
    <row r="379" spans="1:16" x14ac:dyDescent="0.25">
      <c r="A379" s="1">
        <v>43231</v>
      </c>
      <c r="B379" s="2">
        <v>1759481080.0999999</v>
      </c>
      <c r="C379" s="2">
        <v>1759481080.0999999</v>
      </c>
      <c r="D379" s="2">
        <v>826099</v>
      </c>
      <c r="E379" s="2">
        <v>72248165992.5</v>
      </c>
      <c r="F379" s="2">
        <v>727.01</v>
      </c>
      <c r="G379" s="2">
        <v>3290080000</v>
      </c>
      <c r="H379" s="2">
        <v>20663.90625</v>
      </c>
      <c r="I379" s="2">
        <v>721.75116232699997</v>
      </c>
      <c r="J379" s="2" t="s">
        <v>2567</v>
      </c>
      <c r="K379" s="2">
        <v>0.30534420000000001</v>
      </c>
      <c r="L379" s="2">
        <v>3.6687999999999998E-4</v>
      </c>
      <c r="M379" s="2">
        <v>3285211912980000</v>
      </c>
      <c r="N379" s="2">
        <v>385251</v>
      </c>
      <c r="O379" s="2">
        <v>144454990</v>
      </c>
      <c r="P379" s="2">
        <v>5751</v>
      </c>
    </row>
    <row r="380" spans="1:16" x14ac:dyDescent="0.25">
      <c r="A380" s="1">
        <v>43230</v>
      </c>
      <c r="B380" s="2">
        <v>1803153293.9000001</v>
      </c>
      <c r="C380" s="2">
        <v>1803153293.9000001</v>
      </c>
      <c r="D380" s="2">
        <v>854827</v>
      </c>
      <c r="E380" s="2">
        <v>74773841484.899994</v>
      </c>
      <c r="F380" s="2">
        <v>752.58</v>
      </c>
      <c r="G380" s="2">
        <v>2748950016</v>
      </c>
      <c r="H380" s="2">
        <v>20462.90625</v>
      </c>
      <c r="I380" s="2">
        <v>737.34662603100003</v>
      </c>
      <c r="J380" s="2" t="s">
        <v>2568</v>
      </c>
      <c r="K380" s="2">
        <v>0</v>
      </c>
      <c r="L380" s="2">
        <v>3.8521087500000001E-4</v>
      </c>
      <c r="M380" s="2">
        <v>3279763711930000</v>
      </c>
      <c r="N380" s="2">
        <v>374198</v>
      </c>
      <c r="O380" s="2">
        <v>152021290</v>
      </c>
      <c r="P380" s="2">
        <v>5683</v>
      </c>
    </row>
    <row r="381" spans="1:16" x14ac:dyDescent="0.25">
      <c r="A381" s="1">
        <v>43229</v>
      </c>
      <c r="B381" s="2">
        <v>2024033217.4200001</v>
      </c>
      <c r="C381" s="2">
        <v>2024033217.4200001</v>
      </c>
      <c r="D381" s="2">
        <v>831127</v>
      </c>
      <c r="E381" s="2">
        <v>74790028011.800003</v>
      </c>
      <c r="F381" s="2">
        <v>752.9</v>
      </c>
      <c r="G381" s="2">
        <v>2877870080</v>
      </c>
      <c r="H381" s="2">
        <v>20529.375</v>
      </c>
      <c r="I381" s="2">
        <v>522.48147050099999</v>
      </c>
      <c r="J381" s="2" t="s">
        <v>2569</v>
      </c>
      <c r="K381" s="2">
        <v>7.5289999999999996E-2</v>
      </c>
      <c r="L381" s="2">
        <v>2.52E-4</v>
      </c>
      <c r="M381" s="2">
        <v>3268429357610000</v>
      </c>
      <c r="N381" s="2">
        <v>383016</v>
      </c>
      <c r="O381" s="2">
        <v>140440996</v>
      </c>
      <c r="P381" s="2">
        <v>5730</v>
      </c>
    </row>
    <row r="382" spans="1:16" x14ac:dyDescent="0.25">
      <c r="A382" s="1">
        <v>43228</v>
      </c>
      <c r="B382" s="2">
        <v>1800245859.0699999</v>
      </c>
      <c r="C382" s="2">
        <v>1800245859.0699999</v>
      </c>
      <c r="D382" s="2">
        <v>820098</v>
      </c>
      <c r="E382" s="2">
        <v>74984342711.800003</v>
      </c>
      <c r="F382" s="2">
        <v>755.01</v>
      </c>
      <c r="G382" s="2">
        <v>2920489984</v>
      </c>
      <c r="H382" s="2">
        <v>20376.1875</v>
      </c>
      <c r="I382" s="2">
        <v>496.31027844200003</v>
      </c>
      <c r="J382" s="2" t="s">
        <v>2570</v>
      </c>
      <c r="K382" s="2">
        <v>7.5500999999999999E-2</v>
      </c>
      <c r="L382" s="2">
        <v>1.7741600000000001E-4</v>
      </c>
      <c r="M382" s="2">
        <v>3343568565310000</v>
      </c>
      <c r="N382" s="2">
        <v>376039</v>
      </c>
      <c r="O382" s="2">
        <v>136808576</v>
      </c>
      <c r="P382" s="2">
        <v>5734</v>
      </c>
    </row>
    <row r="383" spans="1:16" x14ac:dyDescent="0.25">
      <c r="A383" s="1">
        <v>43227</v>
      </c>
      <c r="B383" s="2">
        <v>3258962097.3000002</v>
      </c>
      <c r="C383" s="2">
        <v>3258962097.3000002</v>
      </c>
      <c r="D383" s="2">
        <v>789863</v>
      </c>
      <c r="E383" s="2">
        <v>78775777750.399994</v>
      </c>
      <c r="F383" s="2">
        <v>793.34</v>
      </c>
      <c r="G383" s="2">
        <v>4316120064</v>
      </c>
      <c r="H383" s="2">
        <v>20720.8125</v>
      </c>
      <c r="I383" s="2">
        <v>443.72823410799998</v>
      </c>
      <c r="J383" s="2" t="s">
        <v>2571</v>
      </c>
      <c r="K383" s="2">
        <v>0.1415080558</v>
      </c>
      <c r="L383" s="2">
        <v>1.4519779999999999E-4</v>
      </c>
      <c r="M383" s="2">
        <v>3327780246020000</v>
      </c>
      <c r="N383" s="2">
        <v>360462</v>
      </c>
      <c r="O383" s="2">
        <v>134721240</v>
      </c>
      <c r="P383" s="2">
        <v>5835</v>
      </c>
    </row>
    <row r="384" spans="1:16" x14ac:dyDescent="0.25">
      <c r="A384" s="1">
        <v>43226</v>
      </c>
      <c r="B384" s="2">
        <v>1367154089.4200001</v>
      </c>
      <c r="C384" s="2">
        <v>1367154089.4200001</v>
      </c>
      <c r="D384" s="2">
        <v>691273</v>
      </c>
      <c r="E384" s="2">
        <v>81017424915.300003</v>
      </c>
      <c r="F384" s="2">
        <v>816.09</v>
      </c>
      <c r="G384" s="2">
        <v>3105570048</v>
      </c>
      <c r="H384" s="2">
        <v>20624.34375</v>
      </c>
      <c r="I384" s="2">
        <v>383.37442881599998</v>
      </c>
      <c r="J384" s="2" t="s">
        <v>2572</v>
      </c>
      <c r="K384" s="2">
        <v>2.2952449641000001</v>
      </c>
      <c r="L384" s="2">
        <v>1.47E-4</v>
      </c>
      <c r="M384" s="2">
        <v>3271982202760000</v>
      </c>
      <c r="N384" s="2">
        <v>358239</v>
      </c>
      <c r="O384" s="2">
        <v>129020462</v>
      </c>
      <c r="P384" s="2">
        <v>5763</v>
      </c>
    </row>
    <row r="385" spans="1:16" x14ac:dyDescent="0.25">
      <c r="A385" s="1">
        <v>43225</v>
      </c>
      <c r="B385" s="2">
        <v>1511353339.6900001</v>
      </c>
      <c r="C385" s="2">
        <v>1511353339.6900001</v>
      </c>
      <c r="D385" s="2">
        <v>789261</v>
      </c>
      <c r="E385" s="2">
        <v>77872965099.5</v>
      </c>
      <c r="F385" s="2">
        <v>784.58</v>
      </c>
      <c r="G385" s="2">
        <v>3035040000</v>
      </c>
      <c r="H385" s="2">
        <v>20715.28125</v>
      </c>
      <c r="I385" s="2">
        <v>428.66025443000001</v>
      </c>
      <c r="J385" s="2" t="s">
        <v>2573</v>
      </c>
      <c r="K385" s="2">
        <v>0.92501982000000005</v>
      </c>
      <c r="L385" s="2">
        <v>1.8248E-4</v>
      </c>
      <c r="M385" s="2">
        <v>3242195815030000</v>
      </c>
      <c r="N385" s="2">
        <v>397266</v>
      </c>
      <c r="O385" s="2">
        <v>138377788</v>
      </c>
      <c r="P385" s="2">
        <v>5741</v>
      </c>
    </row>
    <row r="386" spans="1:16" x14ac:dyDescent="0.25">
      <c r="A386" s="1">
        <v>43224</v>
      </c>
      <c r="B386" s="2">
        <v>2199811346.6300001</v>
      </c>
      <c r="C386" s="2">
        <v>2199811346.6300001</v>
      </c>
      <c r="D386" s="2">
        <v>1000526</v>
      </c>
      <c r="E386" s="2">
        <v>77083076650.300003</v>
      </c>
      <c r="F386" s="2">
        <v>776.78</v>
      </c>
      <c r="G386" s="2">
        <v>3533410048</v>
      </c>
      <c r="H386" s="2">
        <v>20592.5625</v>
      </c>
      <c r="I386" s="2">
        <v>545.71235789399998</v>
      </c>
      <c r="J386" s="2" t="s">
        <v>2574</v>
      </c>
      <c r="K386" s="2">
        <v>94.432222983100004</v>
      </c>
      <c r="L386" s="2">
        <v>1.6799999999999999E-4</v>
      </c>
      <c r="M386" s="2">
        <v>3202794445670000</v>
      </c>
      <c r="N386" s="2">
        <v>663947</v>
      </c>
      <c r="O386" s="2">
        <v>156377573</v>
      </c>
      <c r="P386" s="2">
        <v>5632</v>
      </c>
    </row>
    <row r="387" spans="1:16" x14ac:dyDescent="0.25">
      <c r="A387" s="1">
        <v>43223</v>
      </c>
      <c r="B387" s="2">
        <v>2115696435.6600001</v>
      </c>
      <c r="C387" s="2">
        <v>2115696435.6600001</v>
      </c>
      <c r="D387" s="2">
        <v>839586</v>
      </c>
      <c r="E387" s="2">
        <v>68118950663.300003</v>
      </c>
      <c r="F387" s="2">
        <v>686.59</v>
      </c>
      <c r="G387" s="2">
        <v>4210939904</v>
      </c>
      <c r="H387" s="2">
        <v>20616.09375</v>
      </c>
      <c r="I387" s="2">
        <v>569.74960827699999</v>
      </c>
      <c r="J387" s="2" t="s">
        <v>2575</v>
      </c>
      <c r="K387" s="2">
        <v>0.80193711999999995</v>
      </c>
      <c r="L387" s="2">
        <v>2.10712E-4</v>
      </c>
      <c r="M387" s="2">
        <v>3164594457400000</v>
      </c>
      <c r="N387" s="2">
        <v>400508</v>
      </c>
      <c r="O387" s="2">
        <v>149623503</v>
      </c>
      <c r="P387" s="2">
        <v>5681</v>
      </c>
    </row>
    <row r="388" spans="1:16" x14ac:dyDescent="0.25">
      <c r="A388" s="1">
        <v>43222</v>
      </c>
      <c r="B388" s="2">
        <v>1936352910.3399999</v>
      </c>
      <c r="C388" s="2">
        <v>1936352910.3399999</v>
      </c>
      <c r="D388" s="2">
        <v>787722</v>
      </c>
      <c r="E388" s="2">
        <v>66863536076.300003</v>
      </c>
      <c r="F388" s="2">
        <v>674.08</v>
      </c>
      <c r="G388" s="2">
        <v>2822269952</v>
      </c>
      <c r="H388" s="2">
        <v>20866.03125</v>
      </c>
      <c r="I388" s="2">
        <v>476.35133842200003</v>
      </c>
      <c r="J388" s="2" t="s">
        <v>2576</v>
      </c>
      <c r="K388" s="2">
        <v>0.53387136000000002</v>
      </c>
      <c r="L388" s="2">
        <v>2.0723200000000001E-4</v>
      </c>
      <c r="M388" s="2">
        <v>3111333123490000</v>
      </c>
      <c r="N388" s="2">
        <v>370186</v>
      </c>
      <c r="O388" s="2">
        <v>146376738</v>
      </c>
      <c r="P388" s="2">
        <v>5712</v>
      </c>
    </row>
    <row r="389" spans="1:16" x14ac:dyDescent="0.25">
      <c r="A389" s="1">
        <v>43221</v>
      </c>
      <c r="B389" s="2">
        <v>1403159438.52</v>
      </c>
      <c r="C389" s="2">
        <v>1403159438.52</v>
      </c>
      <c r="D389" s="2">
        <v>713839</v>
      </c>
      <c r="E389" s="2">
        <v>66490842263.199997</v>
      </c>
      <c r="F389" s="2">
        <v>670.46</v>
      </c>
      <c r="G389" s="2">
        <v>2678960128</v>
      </c>
      <c r="H389" s="2">
        <v>20449.21875</v>
      </c>
      <c r="I389" s="2">
        <v>444.81909405499999</v>
      </c>
      <c r="J389" s="2" t="s">
        <v>2577</v>
      </c>
      <c r="K389" s="2">
        <v>0.27435223199999997</v>
      </c>
      <c r="L389" s="2">
        <v>2.0793999999999999E-4</v>
      </c>
      <c r="M389" s="2">
        <v>3113972523540000</v>
      </c>
      <c r="N389" s="2">
        <v>331150</v>
      </c>
      <c r="O389" s="2">
        <v>138403564</v>
      </c>
      <c r="P389" s="2">
        <v>5622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A9B3-D460-4056-A120-F95B9A3F87DE}">
  <dimension ref="A1:Q389"/>
  <sheetViews>
    <sheetView topLeftCell="A352" workbookViewId="0">
      <selection activeCell="E2" sqref="E2:E389"/>
    </sheetView>
  </sheetViews>
  <sheetFormatPr defaultRowHeight="15" x14ac:dyDescent="0.25"/>
  <cols>
    <col min="1" max="1" width="10.140625" bestFit="1" customWidth="1"/>
  </cols>
  <sheetData>
    <row r="1" spans="1:17" ht="15.75" x14ac:dyDescent="0.25">
      <c r="A1" s="3" t="s">
        <v>2207</v>
      </c>
      <c r="B1" s="3" t="s">
        <v>2208</v>
      </c>
      <c r="C1" s="3" t="s">
        <v>2192</v>
      </c>
      <c r="D1" s="3" t="s">
        <v>2193</v>
      </c>
      <c r="E1" s="3" t="s">
        <v>2209</v>
      </c>
      <c r="F1" s="3" t="s">
        <v>2210</v>
      </c>
      <c r="G1" s="3" t="s">
        <v>2211</v>
      </c>
      <c r="H1" s="3" t="s">
        <v>2197</v>
      </c>
      <c r="I1" s="3" t="s">
        <v>2198</v>
      </c>
      <c r="J1" s="3" t="s">
        <v>2212</v>
      </c>
      <c r="K1" s="3" t="s">
        <v>2200</v>
      </c>
      <c r="L1" s="3" t="s">
        <v>2201</v>
      </c>
      <c r="M1" s="3" t="s">
        <v>2202</v>
      </c>
      <c r="N1" s="3" t="s">
        <v>2203</v>
      </c>
      <c r="O1" s="3" t="s">
        <v>2204</v>
      </c>
      <c r="P1" s="3" t="s">
        <v>2205</v>
      </c>
      <c r="Q1" s="3" t="s">
        <v>2206</v>
      </c>
    </row>
    <row r="2" spans="1:17" x14ac:dyDescent="0.25">
      <c r="A2" s="1">
        <v>43608</v>
      </c>
      <c r="B2" s="2" t="s">
        <v>5891</v>
      </c>
      <c r="C2" s="2" t="s">
        <v>5892</v>
      </c>
      <c r="D2" s="2">
        <v>27372</v>
      </c>
      <c r="E2" s="2" t="s">
        <v>5893</v>
      </c>
      <c r="F2" s="2" t="s">
        <v>5894</v>
      </c>
      <c r="G2" s="2" t="s">
        <v>5895</v>
      </c>
      <c r="H2" s="2">
        <v>4785907537.8199997</v>
      </c>
      <c r="I2" s="2">
        <v>13650</v>
      </c>
      <c r="J2" s="2">
        <v>216.40220357999999</v>
      </c>
      <c r="K2" s="2" t="s">
        <v>5896</v>
      </c>
      <c r="L2" s="2">
        <v>12135188.778899999</v>
      </c>
      <c r="M2" s="2">
        <v>50242</v>
      </c>
      <c r="N2" s="2" t="s">
        <v>5897</v>
      </c>
      <c r="O2" s="2">
        <v>1.6799999999999999E-4</v>
      </c>
      <c r="P2" s="2">
        <v>16595092</v>
      </c>
      <c r="Q2" s="2">
        <v>546</v>
      </c>
    </row>
    <row r="3" spans="1:17" x14ac:dyDescent="0.25">
      <c r="A3" s="1">
        <v>43607</v>
      </c>
      <c r="B3" s="2" t="s">
        <v>5898</v>
      </c>
      <c r="C3" s="2" t="s">
        <v>5899</v>
      </c>
      <c r="D3" s="2">
        <v>27238</v>
      </c>
      <c r="E3" s="2" t="s">
        <v>5900</v>
      </c>
      <c r="F3" s="2" t="s">
        <v>5901</v>
      </c>
      <c r="G3" s="2" t="s">
        <v>5902</v>
      </c>
      <c r="H3" s="2">
        <v>4782975720.7299995</v>
      </c>
      <c r="I3" s="2">
        <v>14625</v>
      </c>
      <c r="J3" s="2">
        <v>16.793652489999999</v>
      </c>
      <c r="K3" s="2" t="s">
        <v>5903</v>
      </c>
      <c r="L3" s="2">
        <v>12167399.081</v>
      </c>
      <c r="M3" s="2">
        <v>51719</v>
      </c>
      <c r="N3" s="2" t="s">
        <v>5904</v>
      </c>
      <c r="O3" s="2">
        <v>1.6799999999999999E-4</v>
      </c>
      <c r="P3" s="2">
        <v>15654119</v>
      </c>
      <c r="Q3" s="2">
        <v>585</v>
      </c>
    </row>
    <row r="4" spans="1:17" x14ac:dyDescent="0.25">
      <c r="A4" s="1">
        <v>43606</v>
      </c>
      <c r="B4" s="2" t="s">
        <v>5905</v>
      </c>
      <c r="C4" s="2" t="s">
        <v>5906</v>
      </c>
      <c r="D4" s="2">
        <v>28630</v>
      </c>
      <c r="E4" s="2" t="s">
        <v>5907</v>
      </c>
      <c r="F4" s="2" t="s">
        <v>5908</v>
      </c>
      <c r="G4" s="2" t="s">
        <v>5909</v>
      </c>
      <c r="H4" s="2">
        <v>4795218540.0500002</v>
      </c>
      <c r="I4" s="2">
        <v>14275</v>
      </c>
      <c r="J4" s="2">
        <v>17.2675968</v>
      </c>
      <c r="K4" s="2" t="s">
        <v>5910</v>
      </c>
      <c r="L4" s="2">
        <v>12167399.081</v>
      </c>
      <c r="M4" s="2">
        <v>52965</v>
      </c>
      <c r="N4" s="2" t="s">
        <v>5911</v>
      </c>
      <c r="O4" s="2">
        <v>1.6799999999999999E-4</v>
      </c>
      <c r="P4" s="2">
        <v>17231146</v>
      </c>
      <c r="Q4" s="2">
        <v>571</v>
      </c>
    </row>
    <row r="5" spans="1:17" x14ac:dyDescent="0.25">
      <c r="A5" s="1">
        <v>43605</v>
      </c>
      <c r="B5" s="2" t="s">
        <v>5912</v>
      </c>
      <c r="C5" s="2" t="s">
        <v>5913</v>
      </c>
      <c r="D5" s="2">
        <v>27781</v>
      </c>
      <c r="E5" s="2" t="s">
        <v>5914</v>
      </c>
      <c r="F5" s="2" t="s">
        <v>5915</v>
      </c>
      <c r="G5" s="2" t="s">
        <v>5916</v>
      </c>
      <c r="H5" s="2">
        <v>4793822290.8500004</v>
      </c>
      <c r="I5" s="2">
        <v>14725</v>
      </c>
      <c r="J5" s="2">
        <v>17.164155900000001</v>
      </c>
      <c r="K5" s="2" t="s">
        <v>5917</v>
      </c>
      <c r="L5" s="2">
        <v>12178776.357999999</v>
      </c>
      <c r="M5" s="2">
        <v>53291</v>
      </c>
      <c r="N5" s="2" t="s">
        <v>5915</v>
      </c>
      <c r="O5" s="2">
        <v>1.6799999999999999E-4</v>
      </c>
      <c r="P5" s="2">
        <v>16324130</v>
      </c>
      <c r="Q5" s="2">
        <v>589</v>
      </c>
    </row>
    <row r="6" spans="1:17" x14ac:dyDescent="0.25">
      <c r="A6" s="1">
        <v>43604</v>
      </c>
      <c r="B6" s="2" t="s">
        <v>5918</v>
      </c>
      <c r="C6" s="2" t="s">
        <v>5919</v>
      </c>
      <c r="D6" s="2">
        <v>25430</v>
      </c>
      <c r="E6" s="2" t="s">
        <v>5920</v>
      </c>
      <c r="F6" s="2" t="s">
        <v>4561</v>
      </c>
      <c r="G6" s="2" t="s">
        <v>5921</v>
      </c>
      <c r="H6" s="2">
        <v>4795590383.8299999</v>
      </c>
      <c r="I6" s="2">
        <v>14500</v>
      </c>
      <c r="J6" s="2">
        <v>16.110637369999999</v>
      </c>
      <c r="K6" s="2" t="s">
        <v>5922</v>
      </c>
      <c r="L6" s="2">
        <v>12235778.8375</v>
      </c>
      <c r="M6" s="2">
        <v>47902</v>
      </c>
      <c r="N6" s="2" t="s">
        <v>5923</v>
      </c>
      <c r="O6" s="2">
        <v>2.24E-4</v>
      </c>
      <c r="P6" s="2">
        <v>14283895</v>
      </c>
      <c r="Q6" s="2">
        <v>580</v>
      </c>
    </row>
    <row r="7" spans="1:17" x14ac:dyDescent="0.25">
      <c r="A7" s="1">
        <v>43603</v>
      </c>
      <c r="B7" s="2" t="s">
        <v>5924</v>
      </c>
      <c r="C7" s="2" t="s">
        <v>5925</v>
      </c>
      <c r="D7" s="2">
        <v>25862</v>
      </c>
      <c r="E7" s="2" t="s">
        <v>5926</v>
      </c>
      <c r="F7" s="2" t="s">
        <v>5927</v>
      </c>
      <c r="G7" s="2" t="s">
        <v>5928</v>
      </c>
      <c r="H7" s="2">
        <v>4787377205.75</v>
      </c>
      <c r="I7" s="2">
        <v>13650</v>
      </c>
      <c r="J7" s="2">
        <v>15.34629934</v>
      </c>
      <c r="K7" s="2" t="s">
        <v>5929</v>
      </c>
      <c r="L7" s="2">
        <v>12235778.8375</v>
      </c>
      <c r="M7" s="2">
        <v>49554</v>
      </c>
      <c r="N7" s="2" t="s">
        <v>5930</v>
      </c>
      <c r="O7" s="2">
        <v>1.93E-4</v>
      </c>
      <c r="P7" s="2">
        <v>14226257</v>
      </c>
      <c r="Q7" s="2">
        <v>546</v>
      </c>
    </row>
    <row r="8" spans="1:17" x14ac:dyDescent="0.25">
      <c r="A8" s="1">
        <v>43602</v>
      </c>
      <c r="B8" s="2" t="s">
        <v>5931</v>
      </c>
      <c r="C8" s="2" t="s">
        <v>5932</v>
      </c>
      <c r="D8" s="2">
        <v>31251</v>
      </c>
      <c r="E8" s="2" t="s">
        <v>5933</v>
      </c>
      <c r="F8" s="2" t="s">
        <v>5934</v>
      </c>
      <c r="G8" s="2" t="s">
        <v>5935</v>
      </c>
      <c r="H8" s="2">
        <v>4787457040.9300003</v>
      </c>
      <c r="I8" s="2">
        <v>14475</v>
      </c>
      <c r="J8" s="2">
        <v>19.831333149999999</v>
      </c>
      <c r="K8" s="2" t="s">
        <v>5936</v>
      </c>
      <c r="L8" s="2">
        <v>12235778.8375</v>
      </c>
      <c r="M8" s="2">
        <v>57725</v>
      </c>
      <c r="N8" s="2" t="s">
        <v>5937</v>
      </c>
      <c r="O8" s="2">
        <v>1.92E-4</v>
      </c>
      <c r="P8" s="2">
        <v>17782595</v>
      </c>
      <c r="Q8" s="2">
        <v>579</v>
      </c>
    </row>
    <row r="9" spans="1:17" x14ac:dyDescent="0.25">
      <c r="A9" s="1">
        <v>43601</v>
      </c>
      <c r="B9" s="2" t="s">
        <v>5938</v>
      </c>
      <c r="C9" s="2" t="s">
        <v>5939</v>
      </c>
      <c r="D9" s="2">
        <v>35264</v>
      </c>
      <c r="E9" s="2" t="s">
        <v>5940</v>
      </c>
      <c r="F9" s="2" t="s">
        <v>5941</v>
      </c>
      <c r="G9" s="2" t="s">
        <v>5942</v>
      </c>
      <c r="H9" s="2">
        <v>4788981090.3599997</v>
      </c>
      <c r="I9" s="2">
        <v>14800</v>
      </c>
      <c r="J9" s="2">
        <v>24.587815389999999</v>
      </c>
      <c r="K9" s="2" t="s">
        <v>5943</v>
      </c>
      <c r="L9" s="2">
        <v>11961215.6467</v>
      </c>
      <c r="M9" s="2">
        <v>67164</v>
      </c>
      <c r="N9" s="2" t="s">
        <v>5944</v>
      </c>
      <c r="O9" s="2">
        <v>1.93E-4</v>
      </c>
      <c r="P9" s="2">
        <v>21456132</v>
      </c>
      <c r="Q9" s="2">
        <v>592</v>
      </c>
    </row>
    <row r="10" spans="1:17" x14ac:dyDescent="0.25">
      <c r="A10" s="1">
        <v>43600</v>
      </c>
      <c r="B10" s="2" t="s">
        <v>5945</v>
      </c>
      <c r="C10" s="2" t="s">
        <v>5946</v>
      </c>
      <c r="D10" s="2">
        <v>34623</v>
      </c>
      <c r="E10" s="2" t="s">
        <v>5947</v>
      </c>
      <c r="F10" s="2" t="s">
        <v>5948</v>
      </c>
      <c r="G10" s="2" t="s">
        <v>5949</v>
      </c>
      <c r="H10" s="2">
        <v>4742684037.2700005</v>
      </c>
      <c r="I10" s="2">
        <v>15875</v>
      </c>
      <c r="J10" s="2">
        <v>23.71370503</v>
      </c>
      <c r="K10" s="2" t="s">
        <v>5950</v>
      </c>
      <c r="L10" s="2">
        <v>11806909.684599999</v>
      </c>
      <c r="M10" s="2">
        <v>59387</v>
      </c>
      <c r="N10" s="2" t="s">
        <v>5951</v>
      </c>
      <c r="O10" s="2">
        <v>1.92E-4</v>
      </c>
      <c r="P10" s="2">
        <v>20525259</v>
      </c>
      <c r="Q10" s="2">
        <v>635</v>
      </c>
    </row>
    <row r="11" spans="1:17" x14ac:dyDescent="0.25">
      <c r="A11" s="1">
        <v>43599</v>
      </c>
      <c r="B11" s="2" t="s">
        <v>5952</v>
      </c>
      <c r="C11" s="2" t="s">
        <v>5953</v>
      </c>
      <c r="D11" s="2">
        <v>29204</v>
      </c>
      <c r="E11" s="2" t="s">
        <v>5954</v>
      </c>
      <c r="F11" s="2" t="s">
        <v>5955</v>
      </c>
      <c r="G11" s="2" t="s">
        <v>5956</v>
      </c>
      <c r="H11" s="2">
        <v>4718121122.2600002</v>
      </c>
      <c r="I11" s="2">
        <v>14175</v>
      </c>
      <c r="J11" s="2">
        <v>20.564552110000001</v>
      </c>
      <c r="K11" s="2" t="s">
        <v>5957</v>
      </c>
      <c r="L11" s="2">
        <v>11806909.684599999</v>
      </c>
      <c r="M11" s="2">
        <v>52334</v>
      </c>
      <c r="N11" s="2" t="s">
        <v>5958</v>
      </c>
      <c r="O11" s="2">
        <v>2.1107E-4</v>
      </c>
      <c r="P11" s="2">
        <v>17133006</v>
      </c>
      <c r="Q11" s="2">
        <v>567</v>
      </c>
    </row>
    <row r="12" spans="1:17" x14ac:dyDescent="0.25">
      <c r="A12" s="1">
        <v>43598</v>
      </c>
      <c r="B12" s="2" t="s">
        <v>5959</v>
      </c>
      <c r="C12" s="2" t="s">
        <v>5960</v>
      </c>
      <c r="D12" s="2">
        <v>26785</v>
      </c>
      <c r="E12" s="2" t="s">
        <v>5961</v>
      </c>
      <c r="F12" s="2" t="s">
        <v>5962</v>
      </c>
      <c r="G12" s="2" t="s">
        <v>5963</v>
      </c>
      <c r="H12" s="2">
        <v>4711999592.2600002</v>
      </c>
      <c r="I12" s="2">
        <v>14575</v>
      </c>
      <c r="J12" s="2">
        <v>18.003635289999998</v>
      </c>
      <c r="K12" s="2" t="s">
        <v>5964</v>
      </c>
      <c r="L12" s="2">
        <v>11835438.3255</v>
      </c>
      <c r="M12" s="2">
        <v>48664</v>
      </c>
      <c r="N12" s="2" t="s">
        <v>5965</v>
      </c>
      <c r="O12" s="2">
        <v>1.93E-4</v>
      </c>
      <c r="P12" s="2">
        <v>16538641</v>
      </c>
      <c r="Q12" s="2">
        <v>583</v>
      </c>
    </row>
    <row r="13" spans="1:17" x14ac:dyDescent="0.25">
      <c r="A13" s="1">
        <v>43597</v>
      </c>
      <c r="B13" s="2" t="s">
        <v>5966</v>
      </c>
      <c r="C13" s="2" t="s">
        <v>5967</v>
      </c>
      <c r="D13" s="2">
        <v>23711</v>
      </c>
      <c r="E13" s="2" t="s">
        <v>5968</v>
      </c>
      <c r="F13" s="2" t="s">
        <v>5969</v>
      </c>
      <c r="G13" s="2" t="s">
        <v>5970</v>
      </c>
      <c r="H13" s="2">
        <v>4699484018.6700001</v>
      </c>
      <c r="I13" s="2">
        <v>14600</v>
      </c>
      <c r="J13" s="2">
        <v>15.877999020000001</v>
      </c>
      <c r="K13" s="2" t="s">
        <v>5971</v>
      </c>
      <c r="L13" s="2">
        <v>11919289.398399999</v>
      </c>
      <c r="M13" s="2">
        <v>46684</v>
      </c>
      <c r="N13" s="2" t="s">
        <v>5972</v>
      </c>
      <c r="O13" s="2">
        <v>2.24E-4</v>
      </c>
      <c r="P13" s="2">
        <v>14001904</v>
      </c>
      <c r="Q13" s="2">
        <v>584</v>
      </c>
    </row>
    <row r="14" spans="1:17" x14ac:dyDescent="0.25">
      <c r="A14" s="1">
        <v>43596</v>
      </c>
      <c r="B14" s="2" t="s">
        <v>5973</v>
      </c>
      <c r="C14" s="2" t="s">
        <v>5974</v>
      </c>
      <c r="D14" s="2">
        <v>29717</v>
      </c>
      <c r="E14" s="2" t="s">
        <v>5975</v>
      </c>
      <c r="F14" s="2" t="s">
        <v>5976</v>
      </c>
      <c r="G14" s="2" t="s">
        <v>5977</v>
      </c>
      <c r="H14" s="2">
        <v>4697059212.0500002</v>
      </c>
      <c r="I14" s="2">
        <v>13200</v>
      </c>
      <c r="J14" s="2">
        <v>19.583077450000001</v>
      </c>
      <c r="K14" s="2" t="s">
        <v>5978</v>
      </c>
      <c r="L14" s="2">
        <v>11919289.398399999</v>
      </c>
      <c r="M14" s="2">
        <v>50355</v>
      </c>
      <c r="N14" s="2" t="s">
        <v>5979</v>
      </c>
      <c r="O14" s="2">
        <v>1.6799999999999999E-4</v>
      </c>
      <c r="P14" s="2">
        <v>17759155</v>
      </c>
      <c r="Q14" s="2">
        <v>528</v>
      </c>
    </row>
    <row r="15" spans="1:17" x14ac:dyDescent="0.25">
      <c r="A15" s="1">
        <v>43595</v>
      </c>
      <c r="B15" s="2" t="s">
        <v>5980</v>
      </c>
      <c r="C15" s="2" t="s">
        <v>5981</v>
      </c>
      <c r="D15" s="2">
        <v>26856</v>
      </c>
      <c r="E15" s="2" t="s">
        <v>5982</v>
      </c>
      <c r="F15" s="2" t="s">
        <v>5983</v>
      </c>
      <c r="G15" s="2" t="s">
        <v>5984</v>
      </c>
      <c r="H15" s="2">
        <v>4684362937.4499998</v>
      </c>
      <c r="I15" s="2">
        <v>14625</v>
      </c>
      <c r="J15" s="2">
        <v>17.128528620000001</v>
      </c>
      <c r="K15" s="2" t="s">
        <v>5985</v>
      </c>
      <c r="L15" s="2">
        <v>11919289.398399999</v>
      </c>
      <c r="M15" s="2">
        <v>47636</v>
      </c>
      <c r="N15" s="2" t="s">
        <v>5986</v>
      </c>
      <c r="O15" s="2">
        <v>1.6799999999999999E-4</v>
      </c>
      <c r="P15" s="2">
        <v>15395836</v>
      </c>
      <c r="Q15" s="2">
        <v>585</v>
      </c>
    </row>
    <row r="16" spans="1:17" x14ac:dyDescent="0.25">
      <c r="A16" s="1">
        <v>43594</v>
      </c>
      <c r="B16" s="2" t="s">
        <v>5987</v>
      </c>
      <c r="C16" s="2" t="s">
        <v>5988</v>
      </c>
      <c r="D16" s="2">
        <v>24235</v>
      </c>
      <c r="E16" s="2" t="s">
        <v>5989</v>
      </c>
      <c r="F16" s="2" t="s">
        <v>5990</v>
      </c>
      <c r="G16" s="2" t="s">
        <v>5991</v>
      </c>
      <c r="H16" s="2">
        <v>4676664462.3999996</v>
      </c>
      <c r="I16" s="2">
        <v>15825</v>
      </c>
      <c r="J16" s="2">
        <v>16.872108279999999</v>
      </c>
      <c r="K16" s="2" t="s">
        <v>5992</v>
      </c>
      <c r="L16" s="2">
        <v>11721687.0844</v>
      </c>
      <c r="M16" s="2">
        <v>44081</v>
      </c>
      <c r="N16" s="2" t="s">
        <v>5993</v>
      </c>
      <c r="O16" s="2">
        <v>1.6799999999999999E-4</v>
      </c>
      <c r="P16" s="2">
        <v>15372229</v>
      </c>
      <c r="Q16" s="2">
        <v>633</v>
      </c>
    </row>
    <row r="17" spans="1:17" x14ac:dyDescent="0.25">
      <c r="A17" s="1">
        <v>43593</v>
      </c>
      <c r="B17" s="2" t="s">
        <v>5994</v>
      </c>
      <c r="C17" s="2" t="s">
        <v>5995</v>
      </c>
      <c r="D17" s="2">
        <v>22658</v>
      </c>
      <c r="E17" s="2" t="s">
        <v>5996</v>
      </c>
      <c r="F17" s="2" t="s">
        <v>5997</v>
      </c>
      <c r="G17" s="2" t="s">
        <v>5998</v>
      </c>
      <c r="H17" s="2">
        <v>4672791970.3100004</v>
      </c>
      <c r="I17" s="2">
        <v>14300</v>
      </c>
      <c r="J17" s="2">
        <v>13.654482679999999</v>
      </c>
      <c r="K17" s="2" t="s">
        <v>5999</v>
      </c>
      <c r="L17" s="2">
        <v>11648548.5656</v>
      </c>
      <c r="M17" s="2">
        <v>46781</v>
      </c>
      <c r="N17" s="2" t="s">
        <v>6000</v>
      </c>
      <c r="O17" s="2">
        <v>1.8165999999999999E-4</v>
      </c>
      <c r="P17" s="2">
        <v>13200980</v>
      </c>
      <c r="Q17" s="2">
        <v>572</v>
      </c>
    </row>
    <row r="18" spans="1:17" x14ac:dyDescent="0.25">
      <c r="A18" s="1">
        <v>43592</v>
      </c>
      <c r="B18" s="2" t="s">
        <v>6001</v>
      </c>
      <c r="C18" s="2" t="s">
        <v>6002</v>
      </c>
      <c r="D18" s="2">
        <v>24255</v>
      </c>
      <c r="E18" s="2" t="s">
        <v>6003</v>
      </c>
      <c r="F18" s="2" t="s">
        <v>6004</v>
      </c>
      <c r="G18" s="2" t="s">
        <v>6005</v>
      </c>
      <c r="H18" s="2">
        <v>4671101185.1400003</v>
      </c>
      <c r="I18" s="2">
        <v>14075</v>
      </c>
      <c r="J18" s="2">
        <v>14.55130567</v>
      </c>
      <c r="K18" s="2" t="s">
        <v>6006</v>
      </c>
      <c r="L18" s="2">
        <v>11648548.5656</v>
      </c>
      <c r="M18" s="2">
        <v>45952</v>
      </c>
      <c r="N18" s="2" t="s">
        <v>6007</v>
      </c>
      <c r="O18" s="2">
        <v>1.6799999999999999E-4</v>
      </c>
      <c r="P18" s="2">
        <v>13048897</v>
      </c>
      <c r="Q18" s="2">
        <v>563</v>
      </c>
    </row>
    <row r="19" spans="1:17" x14ac:dyDescent="0.25">
      <c r="A19" s="1">
        <v>43591</v>
      </c>
      <c r="B19" s="2" t="s">
        <v>6008</v>
      </c>
      <c r="C19" s="2" t="s">
        <v>6009</v>
      </c>
      <c r="D19" s="2">
        <v>23011</v>
      </c>
      <c r="E19" s="2" t="s">
        <v>6010</v>
      </c>
      <c r="F19" s="2" t="s">
        <v>6011</v>
      </c>
      <c r="G19" s="2" t="s">
        <v>6012</v>
      </c>
      <c r="H19" s="2">
        <v>4670890153.4700003</v>
      </c>
      <c r="I19" s="2">
        <v>15400</v>
      </c>
      <c r="J19" s="2">
        <v>14.38805166</v>
      </c>
      <c r="K19" s="2" t="s">
        <v>6013</v>
      </c>
      <c r="L19" s="2">
        <v>11792088.1558</v>
      </c>
      <c r="M19" s="2">
        <v>48128</v>
      </c>
      <c r="N19" s="2" t="s">
        <v>6014</v>
      </c>
      <c r="O19" s="2">
        <v>1.9477000000000001E-4</v>
      </c>
      <c r="P19" s="2">
        <v>13515718</v>
      </c>
      <c r="Q19" s="2">
        <v>616</v>
      </c>
    </row>
    <row r="20" spans="1:17" x14ac:dyDescent="0.25">
      <c r="A20" s="1">
        <v>43590</v>
      </c>
      <c r="B20" s="2" t="s">
        <v>6015</v>
      </c>
      <c r="C20" s="2" t="s">
        <v>6016</v>
      </c>
      <c r="D20" s="2">
        <v>19099</v>
      </c>
      <c r="E20" s="2" t="s">
        <v>6017</v>
      </c>
      <c r="F20" s="2" t="s">
        <v>6018</v>
      </c>
      <c r="G20" s="2" t="s">
        <v>6019</v>
      </c>
      <c r="H20" s="2">
        <v>4670447576.1499996</v>
      </c>
      <c r="I20" s="2">
        <v>14875</v>
      </c>
      <c r="J20" s="2">
        <v>12.739650510000001</v>
      </c>
      <c r="K20" s="2" t="s">
        <v>6020</v>
      </c>
      <c r="L20" s="2">
        <v>12097383.020199999</v>
      </c>
      <c r="M20" s="2">
        <v>42068</v>
      </c>
      <c r="N20" s="2" t="s">
        <v>6021</v>
      </c>
      <c r="O20" s="2">
        <v>2.1854E-4</v>
      </c>
      <c r="P20" s="2">
        <v>11837780</v>
      </c>
      <c r="Q20" s="2">
        <v>595</v>
      </c>
    </row>
    <row r="21" spans="1:17" x14ac:dyDescent="0.25">
      <c r="A21" s="1">
        <v>43589</v>
      </c>
      <c r="B21" s="2" t="s">
        <v>6022</v>
      </c>
      <c r="C21" s="2" t="s">
        <v>6023</v>
      </c>
      <c r="D21" s="2">
        <v>23225</v>
      </c>
      <c r="E21" s="2" t="s">
        <v>6024</v>
      </c>
      <c r="F21" s="2" t="s">
        <v>6025</v>
      </c>
      <c r="G21" s="2" t="s">
        <v>6026</v>
      </c>
      <c r="H21" s="2">
        <v>4670035745.4200001</v>
      </c>
      <c r="I21" s="2">
        <v>13875</v>
      </c>
      <c r="J21" s="2">
        <v>14.71145911</v>
      </c>
      <c r="K21" s="2" t="s">
        <v>6027</v>
      </c>
      <c r="L21" s="2">
        <v>12097383.020199999</v>
      </c>
      <c r="M21" s="2">
        <v>46020</v>
      </c>
      <c r="N21" s="2" t="s">
        <v>6028</v>
      </c>
      <c r="O21" s="2">
        <v>1.6799999999999999E-4</v>
      </c>
      <c r="P21" s="2">
        <v>14002269</v>
      </c>
      <c r="Q21" s="2">
        <v>555</v>
      </c>
    </row>
    <row r="22" spans="1:17" x14ac:dyDescent="0.25">
      <c r="A22" s="1">
        <v>43588</v>
      </c>
      <c r="B22" s="2" t="s">
        <v>6029</v>
      </c>
      <c r="C22" s="2" t="s">
        <v>6030</v>
      </c>
      <c r="D22" s="2">
        <v>23055</v>
      </c>
      <c r="E22" s="2" t="s">
        <v>6031</v>
      </c>
      <c r="F22" s="2" t="s">
        <v>6032</v>
      </c>
      <c r="G22" s="2" t="s">
        <v>6033</v>
      </c>
      <c r="H22" s="2">
        <v>4665431690.8999996</v>
      </c>
      <c r="I22" s="2">
        <v>12550</v>
      </c>
      <c r="J22" s="2">
        <v>15.807794660000001</v>
      </c>
      <c r="K22" s="2" t="s">
        <v>6034</v>
      </c>
      <c r="L22" s="2">
        <v>12097383.020199999</v>
      </c>
      <c r="M22" s="2">
        <v>45184</v>
      </c>
      <c r="N22" s="2" t="s">
        <v>6035</v>
      </c>
      <c r="O22" s="2">
        <v>1.92E-4</v>
      </c>
      <c r="P22" s="2">
        <v>14263766</v>
      </c>
      <c r="Q22" s="2">
        <v>502</v>
      </c>
    </row>
    <row r="23" spans="1:17" x14ac:dyDescent="0.25">
      <c r="A23" s="1">
        <v>43587</v>
      </c>
      <c r="B23" s="2" t="s">
        <v>6036</v>
      </c>
      <c r="C23" s="2" t="s">
        <v>6037</v>
      </c>
      <c r="D23" s="2">
        <v>21775</v>
      </c>
      <c r="E23" s="2" t="s">
        <v>6038</v>
      </c>
      <c r="F23" s="2" t="s">
        <v>6039</v>
      </c>
      <c r="G23" s="2" t="s">
        <v>6040</v>
      </c>
      <c r="H23" s="2">
        <v>4661284316.3599997</v>
      </c>
      <c r="I23" s="2">
        <v>15150</v>
      </c>
      <c r="J23" s="2">
        <v>13.619321559999999</v>
      </c>
      <c r="K23" s="2" t="s">
        <v>6041</v>
      </c>
      <c r="L23" s="2">
        <v>11534526.546</v>
      </c>
      <c r="M23" s="2">
        <v>45304</v>
      </c>
      <c r="N23" s="2" t="s">
        <v>6042</v>
      </c>
      <c r="O23" s="2">
        <v>1.6799999999999999E-4</v>
      </c>
      <c r="P23" s="2">
        <v>12609254</v>
      </c>
      <c r="Q23" s="2">
        <v>606</v>
      </c>
    </row>
    <row r="24" spans="1:17" x14ac:dyDescent="0.25">
      <c r="A24" s="1">
        <v>43586</v>
      </c>
      <c r="B24" s="2" t="s">
        <v>6043</v>
      </c>
      <c r="C24" s="2" t="s">
        <v>6044</v>
      </c>
      <c r="D24" s="2">
        <v>21494</v>
      </c>
      <c r="E24" s="2" t="s">
        <v>6045</v>
      </c>
      <c r="F24" s="2" t="s">
        <v>6046</v>
      </c>
      <c r="G24" s="2" t="s">
        <v>6047</v>
      </c>
      <c r="H24" s="2">
        <v>4659671217.1300001</v>
      </c>
      <c r="I24" s="2">
        <v>15675</v>
      </c>
      <c r="J24" s="2">
        <v>13.423494740000001</v>
      </c>
      <c r="K24" s="2" t="s">
        <v>6048</v>
      </c>
      <c r="L24" s="2">
        <v>11320410.3018</v>
      </c>
      <c r="M24" s="2">
        <v>44123</v>
      </c>
      <c r="N24" s="2" t="s">
        <v>6049</v>
      </c>
      <c r="O24" s="2">
        <v>1.8185E-4</v>
      </c>
      <c r="P24" s="2">
        <v>12569852</v>
      </c>
      <c r="Q24" s="2">
        <v>627</v>
      </c>
    </row>
    <row r="25" spans="1:17" x14ac:dyDescent="0.25">
      <c r="A25" s="1">
        <v>43585</v>
      </c>
      <c r="B25" s="2" t="s">
        <v>2578</v>
      </c>
      <c r="C25" s="2" t="s">
        <v>2579</v>
      </c>
      <c r="D25" s="2">
        <v>24301</v>
      </c>
      <c r="E25" s="2" t="s">
        <v>2580</v>
      </c>
      <c r="F25" s="2" t="s">
        <v>2581</v>
      </c>
      <c r="G25" s="2" t="s">
        <v>2582</v>
      </c>
      <c r="H25" s="2">
        <v>4674169048.8999996</v>
      </c>
      <c r="I25" s="2">
        <v>14375</v>
      </c>
      <c r="J25" s="2">
        <v>16.531295119999999</v>
      </c>
      <c r="K25" s="2" t="s">
        <v>2583</v>
      </c>
      <c r="L25" s="2">
        <v>11320410.3018</v>
      </c>
      <c r="M25" s="2">
        <v>49289</v>
      </c>
      <c r="N25" s="2" t="s">
        <v>2584</v>
      </c>
      <c r="O25" s="2">
        <v>1.6799999999999999E-4</v>
      </c>
      <c r="P25" s="2">
        <v>15105274</v>
      </c>
      <c r="Q25" s="2">
        <v>575</v>
      </c>
    </row>
    <row r="26" spans="1:17" x14ac:dyDescent="0.25">
      <c r="A26" s="1">
        <v>43584</v>
      </c>
      <c r="B26" s="2" t="s">
        <v>2585</v>
      </c>
      <c r="C26" s="2" t="s">
        <v>2586</v>
      </c>
      <c r="D26" s="2">
        <v>21393</v>
      </c>
      <c r="E26" s="2" t="s">
        <v>2587</v>
      </c>
      <c r="F26" s="2" t="s">
        <v>2588</v>
      </c>
      <c r="G26" s="2" t="s">
        <v>2589</v>
      </c>
      <c r="H26" s="2">
        <v>4668484302.79</v>
      </c>
      <c r="I26" s="2">
        <v>15100</v>
      </c>
      <c r="J26" s="2">
        <v>13.76029381</v>
      </c>
      <c r="K26" s="2" t="s">
        <v>2590</v>
      </c>
      <c r="L26" s="2">
        <v>11300703.8213</v>
      </c>
      <c r="M26" s="2">
        <v>45412</v>
      </c>
      <c r="N26" s="2" t="s">
        <v>2591</v>
      </c>
      <c r="O26" s="2">
        <v>1.6799999999999999E-4</v>
      </c>
      <c r="P26" s="2">
        <v>13466320</v>
      </c>
      <c r="Q26" s="2">
        <v>604</v>
      </c>
    </row>
    <row r="27" spans="1:17" x14ac:dyDescent="0.25">
      <c r="A27" s="1">
        <v>43583</v>
      </c>
      <c r="B27" s="2" t="s">
        <v>2592</v>
      </c>
      <c r="C27" s="2" t="s">
        <v>2593</v>
      </c>
      <c r="D27" s="2">
        <v>20013</v>
      </c>
      <c r="E27" s="2" t="s">
        <v>2594</v>
      </c>
      <c r="F27" s="2" t="s">
        <v>2595</v>
      </c>
      <c r="G27" s="2" t="s">
        <v>2596</v>
      </c>
      <c r="H27" s="2">
        <v>4670208932.5699997</v>
      </c>
      <c r="I27" s="2">
        <v>14650</v>
      </c>
      <c r="J27" s="2">
        <v>12.626409750000001</v>
      </c>
      <c r="K27" s="2" t="s">
        <v>2597</v>
      </c>
      <c r="L27" s="2">
        <v>11268433.3838</v>
      </c>
      <c r="M27" s="2">
        <v>42097</v>
      </c>
      <c r="N27" s="2" t="s">
        <v>2598</v>
      </c>
      <c r="O27" s="2">
        <v>2.24E-4</v>
      </c>
      <c r="P27" s="2">
        <v>12526477</v>
      </c>
      <c r="Q27" s="2">
        <v>586</v>
      </c>
    </row>
    <row r="28" spans="1:17" x14ac:dyDescent="0.25">
      <c r="A28" s="1">
        <v>43582</v>
      </c>
      <c r="B28" s="2" t="s">
        <v>2599</v>
      </c>
      <c r="C28" s="2" t="s">
        <v>2600</v>
      </c>
      <c r="D28" s="2">
        <v>21701</v>
      </c>
      <c r="E28" s="2" t="s">
        <v>2601</v>
      </c>
      <c r="F28" s="2" t="s">
        <v>2602</v>
      </c>
      <c r="G28" s="2" t="s">
        <v>2603</v>
      </c>
      <c r="H28" s="2">
        <v>4672382390.2799997</v>
      </c>
      <c r="I28" s="2">
        <v>14125</v>
      </c>
      <c r="J28" s="2">
        <v>12.404296609999999</v>
      </c>
      <c r="K28" s="2" t="s">
        <v>2604</v>
      </c>
      <c r="L28" s="2">
        <v>11268433.3838</v>
      </c>
      <c r="M28" s="2">
        <v>44068</v>
      </c>
      <c r="N28" s="2" t="s">
        <v>2605</v>
      </c>
      <c r="O28" s="2">
        <v>1.6799999999999999E-4</v>
      </c>
      <c r="P28" s="2">
        <v>11873648</v>
      </c>
      <c r="Q28" s="2">
        <v>565</v>
      </c>
    </row>
    <row r="29" spans="1:17" x14ac:dyDescent="0.25">
      <c r="A29" s="1">
        <v>43581</v>
      </c>
      <c r="B29" s="2" t="s">
        <v>2606</v>
      </c>
      <c r="C29" s="2" t="s">
        <v>2607</v>
      </c>
      <c r="D29" s="2">
        <v>25563</v>
      </c>
      <c r="E29" s="2" t="s">
        <v>2608</v>
      </c>
      <c r="F29" s="2" t="s">
        <v>2609</v>
      </c>
      <c r="G29" s="2" t="s">
        <v>2610</v>
      </c>
      <c r="H29" s="2">
        <v>4672491446.8299999</v>
      </c>
      <c r="I29" s="2">
        <v>14800</v>
      </c>
      <c r="J29" s="2">
        <v>15.644208730000001</v>
      </c>
      <c r="K29" s="2" t="s">
        <v>2611</v>
      </c>
      <c r="L29" s="2">
        <v>11268433.3838</v>
      </c>
      <c r="M29" s="2">
        <v>49504</v>
      </c>
      <c r="N29" s="2" t="s">
        <v>2612</v>
      </c>
      <c r="O29" s="2">
        <v>1.6799999999999999E-4</v>
      </c>
      <c r="P29" s="2">
        <v>14662956</v>
      </c>
      <c r="Q29" s="2">
        <v>592</v>
      </c>
    </row>
    <row r="30" spans="1:17" x14ac:dyDescent="0.25">
      <c r="A30" s="1">
        <v>43580</v>
      </c>
      <c r="B30" s="2" t="s">
        <v>2613</v>
      </c>
      <c r="C30" s="2" t="s">
        <v>2614</v>
      </c>
      <c r="D30" s="2">
        <v>24100</v>
      </c>
      <c r="E30" s="2" t="s">
        <v>2615</v>
      </c>
      <c r="F30" s="2" t="s">
        <v>2616</v>
      </c>
      <c r="G30" s="2" t="s">
        <v>2617</v>
      </c>
      <c r="H30" s="2">
        <v>4668184969.5600004</v>
      </c>
      <c r="I30" s="2">
        <v>13625</v>
      </c>
      <c r="J30" s="2">
        <v>13.998280769999999</v>
      </c>
      <c r="K30" s="2" t="s">
        <v>2618</v>
      </c>
      <c r="L30" s="2">
        <v>11775220.923</v>
      </c>
      <c r="M30" s="2">
        <v>47814</v>
      </c>
      <c r="N30" s="2" t="s">
        <v>2619</v>
      </c>
      <c r="O30" s="2">
        <v>1.6799999999999999E-4</v>
      </c>
      <c r="P30" s="2">
        <v>13465294</v>
      </c>
      <c r="Q30" s="2">
        <v>545</v>
      </c>
    </row>
    <row r="31" spans="1:17" x14ac:dyDescent="0.25">
      <c r="A31" s="1">
        <v>43579</v>
      </c>
      <c r="B31" s="2" t="s">
        <v>2620</v>
      </c>
      <c r="C31" s="2" t="s">
        <v>2621</v>
      </c>
      <c r="D31" s="2">
        <v>24747</v>
      </c>
      <c r="E31" s="2" t="s">
        <v>2622</v>
      </c>
      <c r="F31" s="2" t="s">
        <v>2623</v>
      </c>
      <c r="G31" s="2" t="s">
        <v>2624</v>
      </c>
      <c r="H31" s="2">
        <v>4671329436.5699997</v>
      </c>
      <c r="I31" s="2">
        <v>13475</v>
      </c>
      <c r="J31" s="2">
        <v>15.93595552</v>
      </c>
      <c r="K31" s="2" t="s">
        <v>2625</v>
      </c>
      <c r="L31" s="2">
        <v>11819729.209899999</v>
      </c>
      <c r="M31" s="2">
        <v>48935</v>
      </c>
      <c r="N31" s="2" t="s">
        <v>2626</v>
      </c>
      <c r="O31" s="2">
        <v>2.1107E-4</v>
      </c>
      <c r="P31" s="2">
        <v>14109858</v>
      </c>
      <c r="Q31" s="2">
        <v>539</v>
      </c>
    </row>
    <row r="32" spans="1:17" x14ac:dyDescent="0.25">
      <c r="A32" s="1">
        <v>43578</v>
      </c>
      <c r="B32" s="2" t="s">
        <v>2627</v>
      </c>
      <c r="C32" s="2" t="s">
        <v>2628</v>
      </c>
      <c r="D32" s="2">
        <v>25298</v>
      </c>
      <c r="E32" s="2" t="s">
        <v>2629</v>
      </c>
      <c r="F32" s="2" t="s">
        <v>2630</v>
      </c>
      <c r="G32" s="2" t="s">
        <v>2631</v>
      </c>
      <c r="H32" s="2">
        <v>4671770765.4099998</v>
      </c>
      <c r="I32" s="2">
        <v>14225</v>
      </c>
      <c r="J32" s="2">
        <v>16.12270453</v>
      </c>
      <c r="K32" s="2" t="s">
        <v>2632</v>
      </c>
      <c r="L32" s="2">
        <v>11819729.209899999</v>
      </c>
      <c r="M32" s="2">
        <v>51153</v>
      </c>
      <c r="N32" s="2" t="s">
        <v>2633</v>
      </c>
      <c r="O32" s="2">
        <v>2.1107E-4</v>
      </c>
      <c r="P32" s="2">
        <v>14878145</v>
      </c>
      <c r="Q32" s="2">
        <v>569</v>
      </c>
    </row>
    <row r="33" spans="1:17" x14ac:dyDescent="0.25">
      <c r="A33" s="1">
        <v>43577</v>
      </c>
      <c r="B33" s="2" t="s">
        <v>2634</v>
      </c>
      <c r="C33" s="2" t="s">
        <v>2635</v>
      </c>
      <c r="D33" s="2">
        <v>20933</v>
      </c>
      <c r="E33" s="2" t="s">
        <v>2636</v>
      </c>
      <c r="F33" s="2" t="s">
        <v>2637</v>
      </c>
      <c r="G33" s="2" t="s">
        <v>2638</v>
      </c>
      <c r="H33" s="2">
        <v>4670897797.5799999</v>
      </c>
      <c r="I33" s="2">
        <v>13875</v>
      </c>
      <c r="J33" s="2">
        <v>14.032502709999999</v>
      </c>
      <c r="K33" s="2" t="s">
        <v>2639</v>
      </c>
      <c r="L33" s="2">
        <v>11814823.7226</v>
      </c>
      <c r="M33" s="2">
        <v>43580</v>
      </c>
      <c r="N33" s="2" t="s">
        <v>2640</v>
      </c>
      <c r="O33" s="2">
        <v>2.24E-4</v>
      </c>
      <c r="P33" s="2">
        <v>12936664</v>
      </c>
      <c r="Q33" s="2">
        <v>555</v>
      </c>
    </row>
    <row r="34" spans="1:17" x14ac:dyDescent="0.25">
      <c r="A34" s="1">
        <v>43576</v>
      </c>
      <c r="B34" s="2" t="s">
        <v>2641</v>
      </c>
      <c r="C34" s="2" t="s">
        <v>2642</v>
      </c>
      <c r="D34" s="2">
        <v>19075</v>
      </c>
      <c r="E34" s="2" t="s">
        <v>2643</v>
      </c>
      <c r="F34" s="2" t="s">
        <v>2644</v>
      </c>
      <c r="G34" s="2" t="s">
        <v>2645</v>
      </c>
      <c r="H34" s="2">
        <v>4671322485.9300003</v>
      </c>
      <c r="I34" s="2">
        <v>14400</v>
      </c>
      <c r="J34" s="2">
        <v>12.619860109999999</v>
      </c>
      <c r="K34" s="2" t="s">
        <v>2646</v>
      </c>
      <c r="L34" s="2">
        <v>11801333.6327</v>
      </c>
      <c r="M34" s="2">
        <v>41429</v>
      </c>
      <c r="N34" s="2" t="s">
        <v>2647</v>
      </c>
      <c r="O34" s="2">
        <v>2.24E-4</v>
      </c>
      <c r="P34" s="2">
        <v>11439951</v>
      </c>
      <c r="Q34" s="2">
        <v>576</v>
      </c>
    </row>
    <row r="35" spans="1:17" x14ac:dyDescent="0.25">
      <c r="A35" s="1">
        <v>43575</v>
      </c>
      <c r="B35" s="2" t="s">
        <v>2648</v>
      </c>
      <c r="C35" s="2" t="s">
        <v>2649</v>
      </c>
      <c r="D35" s="2">
        <v>22281</v>
      </c>
      <c r="E35" s="2" t="s">
        <v>2650</v>
      </c>
      <c r="F35" s="2" t="s">
        <v>2651</v>
      </c>
      <c r="G35" s="2" t="s">
        <v>2652</v>
      </c>
      <c r="H35" s="2">
        <v>4673062334.3900003</v>
      </c>
      <c r="I35" s="2">
        <v>14225</v>
      </c>
      <c r="J35" s="2">
        <v>12.777786819999999</v>
      </c>
      <c r="K35" s="2" t="s">
        <v>2653</v>
      </c>
      <c r="L35" s="2">
        <v>11801333.6327</v>
      </c>
      <c r="M35" s="2">
        <v>46272</v>
      </c>
      <c r="N35" s="2" t="s">
        <v>2654</v>
      </c>
      <c r="O35" s="2">
        <v>1.6799999999999999E-4</v>
      </c>
      <c r="P35" s="2">
        <v>12564818</v>
      </c>
      <c r="Q35" s="2">
        <v>569</v>
      </c>
    </row>
    <row r="36" spans="1:17" x14ac:dyDescent="0.25">
      <c r="A36" s="1">
        <v>43574</v>
      </c>
      <c r="B36" s="2" t="s">
        <v>2655</v>
      </c>
      <c r="C36" s="2" t="s">
        <v>2656</v>
      </c>
      <c r="D36" s="2">
        <v>24652</v>
      </c>
      <c r="E36" s="2" t="s">
        <v>2657</v>
      </c>
      <c r="F36" s="2" t="s">
        <v>2658</v>
      </c>
      <c r="G36" s="2" t="s">
        <v>2659</v>
      </c>
      <c r="H36" s="2">
        <v>4671555988.3100004</v>
      </c>
      <c r="I36" s="2">
        <v>14275</v>
      </c>
      <c r="J36" s="2">
        <v>14.24705054</v>
      </c>
      <c r="K36" s="2" t="s">
        <v>2660</v>
      </c>
      <c r="L36" s="2">
        <v>11801333.6327</v>
      </c>
      <c r="M36" s="2">
        <v>47683</v>
      </c>
      <c r="N36" s="2" t="s">
        <v>2661</v>
      </c>
      <c r="O36" s="2">
        <v>1.6799999999999999E-4</v>
      </c>
      <c r="P36" s="2">
        <v>14129611</v>
      </c>
      <c r="Q36" s="2">
        <v>571</v>
      </c>
    </row>
    <row r="37" spans="1:17" x14ac:dyDescent="0.25">
      <c r="A37" s="1">
        <v>43573</v>
      </c>
      <c r="B37" s="2" t="s">
        <v>2662</v>
      </c>
      <c r="C37" s="2" t="s">
        <v>2663</v>
      </c>
      <c r="D37" s="2">
        <v>24440</v>
      </c>
      <c r="E37" s="2" t="s">
        <v>2664</v>
      </c>
      <c r="F37" s="2" t="s">
        <v>2665</v>
      </c>
      <c r="G37" s="2" t="s">
        <v>2666</v>
      </c>
      <c r="H37" s="2">
        <v>4666811120.1400003</v>
      </c>
      <c r="I37" s="2">
        <v>15325</v>
      </c>
      <c r="J37" s="2">
        <v>15.14439187</v>
      </c>
      <c r="K37" s="2" t="s">
        <v>2667</v>
      </c>
      <c r="L37" s="2">
        <v>11843158.3213</v>
      </c>
      <c r="M37" s="2">
        <v>49076</v>
      </c>
      <c r="N37" s="2" t="s">
        <v>2668</v>
      </c>
      <c r="O37" s="2">
        <v>1.6799999999999999E-4</v>
      </c>
      <c r="P37" s="2">
        <v>14582199</v>
      </c>
      <c r="Q37" s="2">
        <v>613</v>
      </c>
    </row>
    <row r="38" spans="1:17" x14ac:dyDescent="0.25">
      <c r="A38" s="1">
        <v>43572</v>
      </c>
      <c r="B38" s="2" t="s">
        <v>2669</v>
      </c>
      <c r="C38" s="2" t="s">
        <v>2670</v>
      </c>
      <c r="D38" s="2">
        <v>23327</v>
      </c>
      <c r="E38" s="2" t="s">
        <v>2671</v>
      </c>
      <c r="F38" s="2" t="s">
        <v>2672</v>
      </c>
      <c r="G38" s="2" t="s">
        <v>2673</v>
      </c>
      <c r="H38" s="2">
        <v>4663060571.5600004</v>
      </c>
      <c r="I38" s="2">
        <v>13725</v>
      </c>
      <c r="J38" s="2">
        <v>14.414662310000001</v>
      </c>
      <c r="K38" s="2" t="s">
        <v>2674</v>
      </c>
      <c r="L38" s="2">
        <v>11856948.6742</v>
      </c>
      <c r="M38" s="2">
        <v>45586</v>
      </c>
      <c r="N38" s="2" t="s">
        <v>2675</v>
      </c>
      <c r="O38" s="2">
        <v>2.1107E-4</v>
      </c>
      <c r="P38" s="2">
        <v>13362358</v>
      </c>
      <c r="Q38" s="2">
        <v>549</v>
      </c>
    </row>
    <row r="39" spans="1:17" x14ac:dyDescent="0.25">
      <c r="A39" s="1">
        <v>43571</v>
      </c>
      <c r="B39" s="2" t="s">
        <v>2676</v>
      </c>
      <c r="C39" s="2" t="s">
        <v>2677</v>
      </c>
      <c r="D39" s="2">
        <v>24108</v>
      </c>
      <c r="E39" s="2" t="s">
        <v>2678</v>
      </c>
      <c r="F39" s="2" t="s">
        <v>2679</v>
      </c>
      <c r="G39" s="2" t="s">
        <v>2680</v>
      </c>
      <c r="H39" s="2">
        <v>4663580454.3299999</v>
      </c>
      <c r="I39" s="2">
        <v>14225</v>
      </c>
      <c r="J39" s="2">
        <v>15.051821820000001</v>
      </c>
      <c r="K39" s="2" t="s">
        <v>2681</v>
      </c>
      <c r="L39" s="2">
        <v>11856948.6742</v>
      </c>
      <c r="M39" s="2">
        <v>47436</v>
      </c>
      <c r="N39" s="2" t="s">
        <v>2682</v>
      </c>
      <c r="O39" s="2">
        <v>2.1107E-4</v>
      </c>
      <c r="P39" s="2">
        <v>13636590</v>
      </c>
      <c r="Q39" s="2">
        <v>569</v>
      </c>
    </row>
    <row r="40" spans="1:17" x14ac:dyDescent="0.25">
      <c r="A40" s="1">
        <v>43570</v>
      </c>
      <c r="B40" s="2" t="s">
        <v>2683</v>
      </c>
      <c r="C40" s="2" t="s">
        <v>2684</v>
      </c>
      <c r="D40" s="2">
        <v>24651</v>
      </c>
      <c r="E40" s="2" t="s">
        <v>2685</v>
      </c>
      <c r="F40" s="2" t="s">
        <v>2686</v>
      </c>
      <c r="G40" s="2" t="s">
        <v>2687</v>
      </c>
      <c r="H40" s="2">
        <v>4649107345.0299997</v>
      </c>
      <c r="I40" s="2">
        <v>14850</v>
      </c>
      <c r="J40" s="2">
        <v>17.227076700000001</v>
      </c>
      <c r="K40" s="2" t="s">
        <v>2688</v>
      </c>
      <c r="L40" s="2">
        <v>11762357.219900001</v>
      </c>
      <c r="M40" s="2">
        <v>47426</v>
      </c>
      <c r="N40" s="2" t="s">
        <v>2689</v>
      </c>
      <c r="O40" s="2">
        <v>1.92E-4</v>
      </c>
      <c r="P40" s="2">
        <v>15840107</v>
      </c>
      <c r="Q40" s="2">
        <v>594</v>
      </c>
    </row>
    <row r="41" spans="1:17" x14ac:dyDescent="0.25">
      <c r="A41" s="1">
        <v>43569</v>
      </c>
      <c r="B41" s="2" t="s">
        <v>2690</v>
      </c>
      <c r="C41" s="2" t="s">
        <v>2691</v>
      </c>
      <c r="D41" s="2">
        <v>20060</v>
      </c>
      <c r="E41" s="2" t="s">
        <v>2692</v>
      </c>
      <c r="F41" s="2" t="s">
        <v>2693</v>
      </c>
      <c r="G41" s="2" t="s">
        <v>2694</v>
      </c>
      <c r="H41" s="2">
        <v>4649999455.4300003</v>
      </c>
      <c r="I41" s="2">
        <v>15700</v>
      </c>
      <c r="J41" s="2">
        <v>12.82826227</v>
      </c>
      <c r="K41" s="2" t="s">
        <v>2695</v>
      </c>
      <c r="L41" s="2">
        <v>11499067.6305</v>
      </c>
      <c r="M41" s="2">
        <v>45714</v>
      </c>
      <c r="N41" s="2" t="s">
        <v>2696</v>
      </c>
      <c r="O41" s="2">
        <v>2.0210000000000001E-4</v>
      </c>
      <c r="P41" s="2">
        <v>12259851</v>
      </c>
      <c r="Q41" s="2">
        <v>628</v>
      </c>
    </row>
    <row r="42" spans="1:17" x14ac:dyDescent="0.25">
      <c r="A42" s="1">
        <v>43568</v>
      </c>
      <c r="B42" s="2" t="s">
        <v>2697</v>
      </c>
      <c r="C42" s="2" t="s">
        <v>2698</v>
      </c>
      <c r="D42" s="2">
        <v>21692</v>
      </c>
      <c r="E42" s="2" t="s">
        <v>2699</v>
      </c>
      <c r="F42" s="2" t="s">
        <v>2700</v>
      </c>
      <c r="G42" s="2" t="s">
        <v>2701</v>
      </c>
      <c r="H42" s="2">
        <v>4646036117.3900003</v>
      </c>
      <c r="I42" s="2">
        <v>14400</v>
      </c>
      <c r="J42" s="2">
        <v>12.79132867</v>
      </c>
      <c r="K42" s="2" t="s">
        <v>2702</v>
      </c>
      <c r="L42" s="2">
        <v>11499067.6305</v>
      </c>
      <c r="M42" s="2">
        <v>44183</v>
      </c>
      <c r="N42" s="2" t="s">
        <v>2703</v>
      </c>
      <c r="O42" s="2">
        <v>2.0238999999999999E-4</v>
      </c>
      <c r="P42" s="2">
        <v>12373281</v>
      </c>
      <c r="Q42" s="2">
        <v>576</v>
      </c>
    </row>
    <row r="43" spans="1:17" x14ac:dyDescent="0.25">
      <c r="A43" s="1">
        <v>43567</v>
      </c>
      <c r="B43" s="2" t="s">
        <v>2704</v>
      </c>
      <c r="C43" s="2" t="s">
        <v>2705</v>
      </c>
      <c r="D43" s="2">
        <v>24482</v>
      </c>
      <c r="E43" s="2" t="s">
        <v>2706</v>
      </c>
      <c r="F43" s="2" t="s">
        <v>2707</v>
      </c>
      <c r="G43" s="2" t="s">
        <v>2708</v>
      </c>
      <c r="H43" s="2">
        <v>4631027975.5799999</v>
      </c>
      <c r="I43" s="2">
        <v>13950</v>
      </c>
      <c r="J43" s="2">
        <v>13.719706009999999</v>
      </c>
      <c r="K43" s="2" t="s">
        <v>2709</v>
      </c>
      <c r="L43" s="2">
        <v>11499067.6305</v>
      </c>
      <c r="M43" s="2">
        <v>46455</v>
      </c>
      <c r="N43" s="2" t="s">
        <v>2710</v>
      </c>
      <c r="O43" s="2">
        <v>1.6799999999999999E-4</v>
      </c>
      <c r="P43" s="2">
        <v>13081879</v>
      </c>
      <c r="Q43" s="2">
        <v>558</v>
      </c>
    </row>
    <row r="44" spans="1:17" x14ac:dyDescent="0.25">
      <c r="A44" s="1">
        <v>43566</v>
      </c>
      <c r="B44" s="2" t="s">
        <v>2711</v>
      </c>
      <c r="C44" s="2" t="s">
        <v>2712</v>
      </c>
      <c r="D44" s="2">
        <v>26512</v>
      </c>
      <c r="E44" s="2" t="s">
        <v>2713</v>
      </c>
      <c r="F44" s="2" t="s">
        <v>2714</v>
      </c>
      <c r="G44" s="2" t="s">
        <v>2715</v>
      </c>
      <c r="H44" s="2">
        <v>4632665759.5200005</v>
      </c>
      <c r="I44" s="2">
        <v>14325</v>
      </c>
      <c r="J44" s="2">
        <v>17.753439010000001</v>
      </c>
      <c r="K44" s="2" t="s">
        <v>2716</v>
      </c>
      <c r="L44" s="2">
        <v>11815095.1865</v>
      </c>
      <c r="M44" s="2">
        <v>75246</v>
      </c>
      <c r="N44" s="2" t="s">
        <v>2717</v>
      </c>
      <c r="O44" s="2">
        <v>2.2080999999999999E-4</v>
      </c>
      <c r="P44" s="2">
        <v>65641701</v>
      </c>
      <c r="Q44" s="2">
        <v>573</v>
      </c>
    </row>
    <row r="45" spans="1:17" x14ac:dyDescent="0.25">
      <c r="A45" s="1">
        <v>43565</v>
      </c>
      <c r="B45" s="2" t="s">
        <v>2718</v>
      </c>
      <c r="C45" s="2" t="s">
        <v>2719</v>
      </c>
      <c r="D45" s="2">
        <v>25088</v>
      </c>
      <c r="E45" s="2" t="s">
        <v>2720</v>
      </c>
      <c r="F45" s="2" t="s">
        <v>2721</v>
      </c>
      <c r="G45" s="2" t="s">
        <v>2722</v>
      </c>
      <c r="H45" s="2">
        <v>4621039075.0200005</v>
      </c>
      <c r="I45" s="2">
        <v>13925</v>
      </c>
      <c r="J45" s="2">
        <v>16.292335479999998</v>
      </c>
      <c r="K45" s="2" t="s">
        <v>2723</v>
      </c>
      <c r="L45" s="2">
        <v>11879495.7599</v>
      </c>
      <c r="M45" s="2">
        <v>76006</v>
      </c>
      <c r="N45" s="2" t="s">
        <v>2724</v>
      </c>
      <c r="O45" s="2">
        <v>2.22E-4</v>
      </c>
      <c r="P45" s="2">
        <v>53092124</v>
      </c>
      <c r="Q45" s="2">
        <v>557</v>
      </c>
    </row>
    <row r="46" spans="1:17" x14ac:dyDescent="0.25">
      <c r="A46" s="1">
        <v>43564</v>
      </c>
      <c r="B46" s="2" t="s">
        <v>2725</v>
      </c>
      <c r="C46" s="2" t="s">
        <v>2726</v>
      </c>
      <c r="D46" s="2">
        <v>23994</v>
      </c>
      <c r="E46" s="2" t="s">
        <v>2727</v>
      </c>
      <c r="F46" s="2" t="s">
        <v>2728</v>
      </c>
      <c r="G46" s="2" t="s">
        <v>2729</v>
      </c>
      <c r="H46" s="2">
        <v>4615410724.3800001</v>
      </c>
      <c r="I46" s="2">
        <v>13425</v>
      </c>
      <c r="J46" s="2">
        <v>16.982479900000001</v>
      </c>
      <c r="K46" s="2" t="s">
        <v>2730</v>
      </c>
      <c r="L46" s="2">
        <v>11879495.7599</v>
      </c>
      <c r="M46" s="2">
        <v>46219</v>
      </c>
      <c r="N46" s="2" t="s">
        <v>2731</v>
      </c>
      <c r="O46" s="2">
        <v>2.22E-4</v>
      </c>
      <c r="P46" s="2">
        <v>14846398</v>
      </c>
      <c r="Q46" s="2">
        <v>537</v>
      </c>
    </row>
    <row r="47" spans="1:17" x14ac:dyDescent="0.25">
      <c r="A47" s="1">
        <v>43563</v>
      </c>
      <c r="B47" s="2" t="s">
        <v>2732</v>
      </c>
      <c r="C47" s="2" t="s">
        <v>2733</v>
      </c>
      <c r="D47" s="2">
        <v>25967</v>
      </c>
      <c r="E47" s="2" t="s">
        <v>2734</v>
      </c>
      <c r="F47" s="2" t="s">
        <v>2735</v>
      </c>
      <c r="G47" s="2" t="s">
        <v>2736</v>
      </c>
      <c r="H47" s="2">
        <v>4607193682.8400002</v>
      </c>
      <c r="I47" s="2">
        <v>14675</v>
      </c>
      <c r="J47" s="2">
        <v>18.271835410000001</v>
      </c>
      <c r="K47" s="2" t="s">
        <v>2737</v>
      </c>
      <c r="L47" s="2">
        <v>11768268.5809</v>
      </c>
      <c r="M47" s="2">
        <v>50448</v>
      </c>
      <c r="N47" s="2" t="s">
        <v>2738</v>
      </c>
      <c r="O47" s="2">
        <v>2.2599999999999999E-4</v>
      </c>
      <c r="P47" s="2">
        <v>123559210</v>
      </c>
      <c r="Q47" s="2">
        <v>587</v>
      </c>
    </row>
    <row r="48" spans="1:17" x14ac:dyDescent="0.25">
      <c r="A48" s="1">
        <v>43562</v>
      </c>
      <c r="B48" s="2" t="s">
        <v>2739</v>
      </c>
      <c r="C48" s="2" t="s">
        <v>2740</v>
      </c>
      <c r="D48" s="2">
        <v>24003</v>
      </c>
      <c r="E48" s="2" t="s">
        <v>2741</v>
      </c>
      <c r="F48" s="2" t="s">
        <v>2742</v>
      </c>
      <c r="G48" s="2" t="s">
        <v>2743</v>
      </c>
      <c r="H48" s="2">
        <v>4602689701.71</v>
      </c>
      <c r="I48" s="2">
        <v>15275</v>
      </c>
      <c r="J48" s="2">
        <v>15.560253429999999</v>
      </c>
      <c r="K48" s="2" t="s">
        <v>2744</v>
      </c>
      <c r="L48" s="2">
        <v>11416443.603399999</v>
      </c>
      <c r="M48" s="2">
        <v>138655</v>
      </c>
      <c r="N48" s="2" t="s">
        <v>2745</v>
      </c>
      <c r="O48" s="2">
        <v>2.2599999999999999E-4</v>
      </c>
      <c r="P48" s="2">
        <v>64268502</v>
      </c>
      <c r="Q48" s="2">
        <v>611</v>
      </c>
    </row>
    <row r="49" spans="1:17" x14ac:dyDescent="0.25">
      <c r="A49" s="1">
        <v>43561</v>
      </c>
      <c r="B49" s="2" t="s">
        <v>2746</v>
      </c>
      <c r="C49" s="2" t="s">
        <v>2747</v>
      </c>
      <c r="D49" s="2">
        <v>26033</v>
      </c>
      <c r="E49" s="2" t="s">
        <v>2748</v>
      </c>
      <c r="F49" s="2" t="s">
        <v>2749</v>
      </c>
      <c r="G49" s="2" t="s">
        <v>2750</v>
      </c>
      <c r="H49" s="2">
        <v>4598286458.5799999</v>
      </c>
      <c r="I49" s="2">
        <v>14975</v>
      </c>
      <c r="J49" s="2">
        <v>15.61554471</v>
      </c>
      <c r="K49" s="2" t="s">
        <v>2751</v>
      </c>
      <c r="L49" s="2">
        <v>11416443.603399999</v>
      </c>
      <c r="M49" s="2">
        <v>49683</v>
      </c>
      <c r="N49" s="2" t="s">
        <v>2752</v>
      </c>
      <c r="O49" s="2">
        <v>2.1159999999999999E-4</v>
      </c>
      <c r="P49" s="2">
        <v>14884957</v>
      </c>
      <c r="Q49" s="2">
        <v>599</v>
      </c>
    </row>
    <row r="50" spans="1:17" x14ac:dyDescent="0.25">
      <c r="A50" s="1">
        <v>43560</v>
      </c>
      <c r="B50" s="2" t="s">
        <v>2753</v>
      </c>
      <c r="C50" s="2" t="s">
        <v>2754</v>
      </c>
      <c r="D50" s="2">
        <v>26768</v>
      </c>
      <c r="E50" s="2" t="s">
        <v>2755</v>
      </c>
      <c r="F50" s="2" t="s">
        <v>2756</v>
      </c>
      <c r="G50" s="2" t="s">
        <v>2757</v>
      </c>
      <c r="H50" s="2">
        <v>4587934873.3299999</v>
      </c>
      <c r="I50" s="2">
        <v>14500</v>
      </c>
      <c r="J50" s="2">
        <v>17.666263579999999</v>
      </c>
      <c r="K50" s="2" t="s">
        <v>2758</v>
      </c>
      <c r="L50" s="2">
        <v>11416443.603399999</v>
      </c>
      <c r="M50" s="2">
        <v>51084</v>
      </c>
      <c r="N50" s="2" t="s">
        <v>2759</v>
      </c>
      <c r="O50" s="2">
        <v>1.92E-4</v>
      </c>
      <c r="P50" s="2">
        <v>16160708</v>
      </c>
      <c r="Q50" s="2">
        <v>580</v>
      </c>
    </row>
    <row r="51" spans="1:17" x14ac:dyDescent="0.25">
      <c r="A51" s="1">
        <v>43559</v>
      </c>
      <c r="B51" s="2" t="s">
        <v>2760</v>
      </c>
      <c r="C51" s="2" t="s">
        <v>2761</v>
      </c>
      <c r="D51" s="2">
        <v>29731</v>
      </c>
      <c r="E51" s="2" t="s">
        <v>2762</v>
      </c>
      <c r="F51" s="2" t="s">
        <v>2763</v>
      </c>
      <c r="G51" s="2" t="s">
        <v>2764</v>
      </c>
      <c r="H51" s="2">
        <v>4578643632.4200001</v>
      </c>
      <c r="I51" s="2">
        <v>14700</v>
      </c>
      <c r="J51" s="2">
        <v>19.729360329999999</v>
      </c>
      <c r="K51" s="2" t="s">
        <v>2765</v>
      </c>
      <c r="L51" s="2">
        <v>10792404.511700001</v>
      </c>
      <c r="M51" s="2">
        <v>53736</v>
      </c>
      <c r="N51" s="2" t="s">
        <v>2766</v>
      </c>
      <c r="O51" s="2">
        <v>2.1107E-4</v>
      </c>
      <c r="P51" s="2">
        <v>18505439</v>
      </c>
      <c r="Q51" s="2">
        <v>588</v>
      </c>
    </row>
    <row r="52" spans="1:17" x14ac:dyDescent="0.25">
      <c r="A52" s="1">
        <v>43558</v>
      </c>
      <c r="B52" s="2" t="s">
        <v>2767</v>
      </c>
      <c r="C52" s="2" t="s">
        <v>2768</v>
      </c>
      <c r="D52" s="2">
        <v>39794</v>
      </c>
      <c r="E52" s="2" t="s">
        <v>2769</v>
      </c>
      <c r="F52" s="2" t="s">
        <v>2770</v>
      </c>
      <c r="G52" s="2" t="s">
        <v>2771</v>
      </c>
      <c r="H52" s="2">
        <v>4572196874.2799997</v>
      </c>
      <c r="I52" s="2">
        <v>15200</v>
      </c>
      <c r="J52" s="2">
        <v>28.658119670000001</v>
      </c>
      <c r="K52" s="2" t="s">
        <v>2772</v>
      </c>
      <c r="L52" s="2">
        <v>10686950.589600001</v>
      </c>
      <c r="M52" s="2">
        <v>62947</v>
      </c>
      <c r="N52" s="2" t="s">
        <v>2773</v>
      </c>
      <c r="O52" s="2">
        <v>2.24E-4</v>
      </c>
      <c r="P52" s="2">
        <v>24619430</v>
      </c>
      <c r="Q52" s="2">
        <v>608</v>
      </c>
    </row>
    <row r="53" spans="1:17" x14ac:dyDescent="0.25">
      <c r="A53" s="1">
        <v>43557</v>
      </c>
      <c r="B53" s="2" t="s">
        <v>2774</v>
      </c>
      <c r="C53" s="2" t="s">
        <v>2775</v>
      </c>
      <c r="D53" s="2">
        <v>35034</v>
      </c>
      <c r="E53" s="2" t="s">
        <v>2776</v>
      </c>
      <c r="F53" s="2" t="s">
        <v>2777</v>
      </c>
      <c r="G53" s="2" t="s">
        <v>2778</v>
      </c>
      <c r="H53" s="2">
        <v>4544130559.4200001</v>
      </c>
      <c r="I53" s="2">
        <v>15750</v>
      </c>
      <c r="J53" s="2">
        <v>30.859781099999999</v>
      </c>
      <c r="K53" s="2" t="s">
        <v>2779</v>
      </c>
      <c r="L53" s="2">
        <v>10686950.589600001</v>
      </c>
      <c r="M53" s="2">
        <v>59689</v>
      </c>
      <c r="N53" s="2" t="s">
        <v>2780</v>
      </c>
      <c r="O53" s="2">
        <v>2.2599999999999999E-4</v>
      </c>
      <c r="P53" s="2">
        <v>24165146</v>
      </c>
      <c r="Q53" s="2">
        <v>630</v>
      </c>
    </row>
    <row r="54" spans="1:17" x14ac:dyDescent="0.25">
      <c r="A54" s="1">
        <v>43556</v>
      </c>
      <c r="B54" s="2" t="s">
        <v>2781</v>
      </c>
      <c r="C54" s="2" t="s">
        <v>2782</v>
      </c>
      <c r="D54" s="2">
        <v>25517</v>
      </c>
      <c r="E54" s="2" t="s">
        <v>2783</v>
      </c>
      <c r="F54" s="2" t="s">
        <v>2784</v>
      </c>
      <c r="G54" s="2" t="s">
        <v>2785</v>
      </c>
      <c r="H54" s="2">
        <v>4498934661.4200001</v>
      </c>
      <c r="I54" s="2">
        <v>15300</v>
      </c>
      <c r="J54" s="2">
        <v>17.312222259999999</v>
      </c>
      <c r="K54" s="2" t="s">
        <v>2786</v>
      </c>
      <c r="L54" s="2">
        <v>10507120.845799999</v>
      </c>
      <c r="M54" s="2">
        <v>47880</v>
      </c>
      <c r="N54" s="2" t="s">
        <v>2787</v>
      </c>
      <c r="O54" s="2">
        <v>1.93E-4</v>
      </c>
      <c r="P54" s="2">
        <v>16121198</v>
      </c>
      <c r="Q54" s="2">
        <v>612</v>
      </c>
    </row>
    <row r="55" spans="1:17" x14ac:dyDescent="0.25">
      <c r="A55" s="1">
        <v>43555</v>
      </c>
      <c r="B55" s="2" t="s">
        <v>2788</v>
      </c>
      <c r="C55" s="2" t="s">
        <v>2789</v>
      </c>
      <c r="D55" s="2">
        <v>22671</v>
      </c>
      <c r="E55" s="2" t="s">
        <v>2790</v>
      </c>
      <c r="F55" s="2" t="s">
        <v>2791</v>
      </c>
      <c r="G55" s="2" t="s">
        <v>2792</v>
      </c>
      <c r="H55" s="2">
        <v>4489379371.6400003</v>
      </c>
      <c r="I55" s="2">
        <v>14875</v>
      </c>
      <c r="J55" s="2">
        <v>13.095818039999999</v>
      </c>
      <c r="K55" s="2" t="s">
        <v>2793</v>
      </c>
      <c r="L55" s="2">
        <v>10360375.505899999</v>
      </c>
      <c r="M55" s="2">
        <v>45780</v>
      </c>
      <c r="N55" s="2" t="s">
        <v>2794</v>
      </c>
      <c r="O55" s="2">
        <v>2.2477E-4</v>
      </c>
      <c r="P55" s="2">
        <v>13196972</v>
      </c>
      <c r="Q55" s="2">
        <v>595</v>
      </c>
    </row>
    <row r="56" spans="1:17" x14ac:dyDescent="0.25">
      <c r="A56" s="1">
        <v>43554</v>
      </c>
      <c r="B56" s="2" t="s">
        <v>2795</v>
      </c>
      <c r="C56" s="2" t="s">
        <v>2796</v>
      </c>
      <c r="D56" s="2">
        <v>26185</v>
      </c>
      <c r="E56" s="2" t="s">
        <v>2797</v>
      </c>
      <c r="F56" s="2" t="s">
        <v>2798</v>
      </c>
      <c r="G56" s="2" t="s">
        <v>2799</v>
      </c>
      <c r="H56" s="2">
        <v>4486746310.9099998</v>
      </c>
      <c r="I56" s="2">
        <v>14900</v>
      </c>
      <c r="J56" s="2">
        <v>14.892112040000001</v>
      </c>
      <c r="K56" s="2" t="s">
        <v>2800</v>
      </c>
      <c r="L56" s="2">
        <v>10360375.505899999</v>
      </c>
      <c r="M56" s="2">
        <v>46305</v>
      </c>
      <c r="N56" s="2" t="s">
        <v>2801</v>
      </c>
      <c r="O56" s="2">
        <v>2.24E-4</v>
      </c>
      <c r="P56" s="2">
        <v>14760825</v>
      </c>
      <c r="Q56" s="2">
        <v>596</v>
      </c>
    </row>
    <row r="57" spans="1:17" x14ac:dyDescent="0.25">
      <c r="A57" s="1">
        <v>43553</v>
      </c>
      <c r="B57" s="2" t="s">
        <v>2802</v>
      </c>
      <c r="C57" s="2" t="s">
        <v>2803</v>
      </c>
      <c r="D57" s="2">
        <v>26197</v>
      </c>
      <c r="E57" s="2" t="s">
        <v>2804</v>
      </c>
      <c r="F57" s="2" t="s">
        <v>2805</v>
      </c>
      <c r="G57" s="2" t="s">
        <v>2806</v>
      </c>
      <c r="H57" s="2">
        <v>4496063054.29</v>
      </c>
      <c r="I57" s="2">
        <v>15000</v>
      </c>
      <c r="J57" s="2">
        <v>14.614339449999999</v>
      </c>
      <c r="K57" s="2" t="s">
        <v>2807</v>
      </c>
      <c r="L57" s="2">
        <v>10258504.861300001</v>
      </c>
      <c r="M57" s="2">
        <v>47695</v>
      </c>
      <c r="N57" s="2" t="s">
        <v>2808</v>
      </c>
      <c r="O57" s="2">
        <v>1.93E-4</v>
      </c>
      <c r="P57" s="2">
        <v>13856507</v>
      </c>
      <c r="Q57" s="2">
        <v>600</v>
      </c>
    </row>
    <row r="58" spans="1:17" x14ac:dyDescent="0.25">
      <c r="A58" s="1">
        <v>43552</v>
      </c>
      <c r="B58" s="2" t="s">
        <v>2809</v>
      </c>
      <c r="C58" s="2" t="s">
        <v>2810</v>
      </c>
      <c r="D58" s="2">
        <v>23053</v>
      </c>
      <c r="E58" s="2" t="s">
        <v>2811</v>
      </c>
      <c r="F58" s="2" t="s">
        <v>2812</v>
      </c>
      <c r="G58" s="2" t="s">
        <v>2813</v>
      </c>
      <c r="H58" s="2">
        <v>4474204158.5200005</v>
      </c>
      <c r="I58" s="2">
        <v>15850</v>
      </c>
      <c r="J58" s="2">
        <v>14.40086857</v>
      </c>
      <c r="K58" s="2" t="s">
        <v>2814</v>
      </c>
      <c r="L58" s="2">
        <v>9814639.9100199994</v>
      </c>
      <c r="M58" s="2">
        <v>43352</v>
      </c>
      <c r="N58" s="2" t="s">
        <v>2815</v>
      </c>
      <c r="O58" s="2">
        <v>2.1854E-4</v>
      </c>
      <c r="P58" s="2">
        <v>13088190</v>
      </c>
      <c r="Q58" s="2">
        <v>634</v>
      </c>
    </row>
    <row r="59" spans="1:17" x14ac:dyDescent="0.25">
      <c r="A59" s="1">
        <v>43551</v>
      </c>
      <c r="B59" s="2" t="s">
        <v>2816</v>
      </c>
      <c r="C59" s="2" t="s">
        <v>2817</v>
      </c>
      <c r="D59" s="2">
        <v>23499</v>
      </c>
      <c r="E59" s="2" t="s">
        <v>2818</v>
      </c>
      <c r="F59" s="2" t="s">
        <v>2819</v>
      </c>
      <c r="G59" s="2" t="s">
        <v>2820</v>
      </c>
      <c r="H59" s="2">
        <v>4474419006.8000002</v>
      </c>
      <c r="I59" s="2">
        <v>14850</v>
      </c>
      <c r="J59" s="2">
        <v>15.121720209999999</v>
      </c>
      <c r="K59" s="2" t="s">
        <v>2821</v>
      </c>
      <c r="L59" s="2">
        <v>9814639.9100199994</v>
      </c>
      <c r="M59" s="2">
        <v>45435</v>
      </c>
      <c r="N59" s="2" t="s">
        <v>2822</v>
      </c>
      <c r="O59" s="2">
        <v>2.24E-4</v>
      </c>
      <c r="P59" s="2">
        <v>13356742</v>
      </c>
      <c r="Q59" s="2">
        <v>594</v>
      </c>
    </row>
    <row r="60" spans="1:17" x14ac:dyDescent="0.25">
      <c r="A60" s="1">
        <v>43550</v>
      </c>
      <c r="B60" s="2" t="s">
        <v>2823</v>
      </c>
      <c r="C60" s="2" t="s">
        <v>2824</v>
      </c>
      <c r="D60" s="2">
        <v>21440</v>
      </c>
      <c r="E60" s="2" t="s">
        <v>2825</v>
      </c>
      <c r="F60" s="2" t="s">
        <v>2826</v>
      </c>
      <c r="G60" s="2" t="s">
        <v>2827</v>
      </c>
      <c r="H60" s="2">
        <v>4469705708.79</v>
      </c>
      <c r="I60" s="2">
        <v>14500</v>
      </c>
      <c r="J60" s="2">
        <v>13.93671219</v>
      </c>
      <c r="K60" s="2" t="s">
        <v>2828</v>
      </c>
      <c r="L60" s="2">
        <v>9814639.9100199994</v>
      </c>
      <c r="M60" s="2">
        <v>43528</v>
      </c>
      <c r="N60" s="2" t="s">
        <v>2829</v>
      </c>
      <c r="O60" s="2">
        <v>2.2599999999999999E-4</v>
      </c>
      <c r="P60" s="2">
        <v>12368156</v>
      </c>
      <c r="Q60" s="2">
        <v>580</v>
      </c>
    </row>
    <row r="61" spans="1:17" x14ac:dyDescent="0.25">
      <c r="A61" s="1">
        <v>43549</v>
      </c>
      <c r="B61" s="2" t="s">
        <v>2830</v>
      </c>
      <c r="C61" s="2" t="s">
        <v>2831</v>
      </c>
      <c r="D61" s="2">
        <v>21547</v>
      </c>
      <c r="E61" s="2" t="s">
        <v>2832</v>
      </c>
      <c r="F61" s="2" t="s">
        <v>2833</v>
      </c>
      <c r="G61" s="2" t="s">
        <v>2834</v>
      </c>
      <c r="H61" s="2">
        <v>4469017728.4200001</v>
      </c>
      <c r="I61" s="2">
        <v>15425</v>
      </c>
      <c r="J61" s="2">
        <v>14.942013960000001</v>
      </c>
      <c r="K61" s="2" t="s">
        <v>2835</v>
      </c>
      <c r="L61" s="2">
        <v>9482643.0567799993</v>
      </c>
      <c r="M61" s="2">
        <v>44202</v>
      </c>
      <c r="N61" s="2" t="s">
        <v>2836</v>
      </c>
      <c r="O61" s="2">
        <v>2.2599999999999999E-4</v>
      </c>
      <c r="P61" s="2">
        <v>13605196</v>
      </c>
      <c r="Q61" s="2">
        <v>617</v>
      </c>
    </row>
    <row r="62" spans="1:17" x14ac:dyDescent="0.25">
      <c r="A62" s="1">
        <v>43548</v>
      </c>
      <c r="B62" s="2" t="s">
        <v>2837</v>
      </c>
      <c r="C62" s="2" t="s">
        <v>2838</v>
      </c>
      <c r="D62" s="2">
        <v>18774</v>
      </c>
      <c r="E62" s="2" t="s">
        <v>2839</v>
      </c>
      <c r="F62" s="2" t="s">
        <v>2840</v>
      </c>
      <c r="G62" s="2" t="s">
        <v>2841</v>
      </c>
      <c r="H62" s="2">
        <v>4467779045.8500004</v>
      </c>
      <c r="I62" s="2">
        <v>14525</v>
      </c>
      <c r="J62" s="2">
        <v>12.88836418</v>
      </c>
      <c r="K62" s="2" t="s">
        <v>2842</v>
      </c>
      <c r="L62" s="2">
        <v>9421468.9725000001</v>
      </c>
      <c r="M62" s="2">
        <v>41222</v>
      </c>
      <c r="N62" s="2" t="s">
        <v>2843</v>
      </c>
      <c r="O62" s="2">
        <v>2.2599999999999999E-4</v>
      </c>
      <c r="P62" s="2">
        <v>11320769</v>
      </c>
      <c r="Q62" s="2">
        <v>581</v>
      </c>
    </row>
    <row r="63" spans="1:17" x14ac:dyDescent="0.25">
      <c r="A63" s="1">
        <v>43547</v>
      </c>
      <c r="B63" s="2" t="s">
        <v>2844</v>
      </c>
      <c r="C63" s="2" t="s">
        <v>2845</v>
      </c>
      <c r="D63" s="2">
        <v>22830</v>
      </c>
      <c r="E63" s="2" t="s">
        <v>2846</v>
      </c>
      <c r="F63" s="2" t="s">
        <v>2847</v>
      </c>
      <c r="G63" s="2" t="s">
        <v>2848</v>
      </c>
      <c r="H63" s="2">
        <v>4467170008.6999998</v>
      </c>
      <c r="I63" s="2">
        <v>15025</v>
      </c>
      <c r="J63" s="2">
        <v>13.69171762</v>
      </c>
      <c r="K63" s="2" t="s">
        <v>2849</v>
      </c>
      <c r="L63" s="2">
        <v>9421468.9725000001</v>
      </c>
      <c r="M63" s="2">
        <v>44879</v>
      </c>
      <c r="N63" s="2" t="s">
        <v>2850</v>
      </c>
      <c r="O63" s="2">
        <v>2.24E-4</v>
      </c>
      <c r="P63" s="2">
        <v>12646795</v>
      </c>
      <c r="Q63" s="2">
        <v>601</v>
      </c>
    </row>
    <row r="64" spans="1:17" x14ac:dyDescent="0.25">
      <c r="A64" s="1">
        <v>43546</v>
      </c>
      <c r="B64" s="2" t="s">
        <v>2851</v>
      </c>
      <c r="C64" s="2" t="s">
        <v>2852</v>
      </c>
      <c r="D64" s="2">
        <v>25492</v>
      </c>
      <c r="E64" s="2" t="s">
        <v>2853</v>
      </c>
      <c r="F64" s="2" t="s">
        <v>2854</v>
      </c>
      <c r="G64" s="2" t="s">
        <v>2855</v>
      </c>
      <c r="H64" s="2">
        <v>4465284660.5600004</v>
      </c>
      <c r="I64" s="2">
        <v>15725</v>
      </c>
      <c r="J64" s="2">
        <v>15.910961779999999</v>
      </c>
      <c r="K64" s="2" t="s">
        <v>2856</v>
      </c>
      <c r="L64" s="2">
        <v>9431141.5906600002</v>
      </c>
      <c r="M64" s="2">
        <v>46454</v>
      </c>
      <c r="N64" s="2" t="s">
        <v>2857</v>
      </c>
      <c r="O64" s="2">
        <v>2.1107E-4</v>
      </c>
      <c r="P64" s="2">
        <v>14084884</v>
      </c>
      <c r="Q64" s="2">
        <v>629</v>
      </c>
    </row>
    <row r="65" spans="1:17" x14ac:dyDescent="0.25">
      <c r="A65" s="1">
        <v>43545</v>
      </c>
      <c r="B65" s="2" t="s">
        <v>2858</v>
      </c>
      <c r="C65" s="2" t="s">
        <v>2859</v>
      </c>
      <c r="D65" s="2">
        <v>23630</v>
      </c>
      <c r="E65" s="2" t="s">
        <v>2860</v>
      </c>
      <c r="F65" s="2" t="s">
        <v>2861</v>
      </c>
      <c r="G65" s="2" t="s">
        <v>2862</v>
      </c>
      <c r="H65" s="2">
        <v>4464439870.9799995</v>
      </c>
      <c r="I65" s="2">
        <v>14350</v>
      </c>
      <c r="J65" s="2">
        <v>13.773455670000001</v>
      </c>
      <c r="K65" s="2" t="s">
        <v>2863</v>
      </c>
      <c r="L65" s="2">
        <v>9440722.3801499996</v>
      </c>
      <c r="M65" s="2">
        <v>45508</v>
      </c>
      <c r="N65" s="2" t="s">
        <v>2864</v>
      </c>
      <c r="O65" s="2">
        <v>2.24E-4</v>
      </c>
      <c r="P65" s="2">
        <v>12974116</v>
      </c>
      <c r="Q65" s="2">
        <v>574</v>
      </c>
    </row>
    <row r="66" spans="1:17" x14ac:dyDescent="0.25">
      <c r="A66" s="1">
        <v>43544</v>
      </c>
      <c r="B66" s="2" t="s">
        <v>2865</v>
      </c>
      <c r="C66" s="2" t="s">
        <v>2866</v>
      </c>
      <c r="D66" s="2">
        <v>24045</v>
      </c>
      <c r="E66" s="2" t="s">
        <v>2867</v>
      </c>
      <c r="F66" s="2" t="s">
        <v>2868</v>
      </c>
      <c r="G66" s="2" t="s">
        <v>2869</v>
      </c>
      <c r="H66" s="2">
        <v>4464669758.8199997</v>
      </c>
      <c r="I66" s="2">
        <v>14425</v>
      </c>
      <c r="J66" s="2">
        <v>14.457628919999999</v>
      </c>
      <c r="K66" s="2" t="s">
        <v>2870</v>
      </c>
      <c r="L66" s="2">
        <v>9440722.3801499996</v>
      </c>
      <c r="M66" s="2">
        <v>46310</v>
      </c>
      <c r="N66" s="2" t="s">
        <v>2871</v>
      </c>
      <c r="O66" s="2">
        <v>1.9799999999999999E-4</v>
      </c>
      <c r="P66" s="2">
        <v>13272390</v>
      </c>
      <c r="Q66" s="2">
        <v>577</v>
      </c>
    </row>
    <row r="67" spans="1:17" x14ac:dyDescent="0.25">
      <c r="A67" s="1">
        <v>43543</v>
      </c>
      <c r="B67" s="2" t="s">
        <v>2872</v>
      </c>
      <c r="C67" s="2" t="s">
        <v>2873</v>
      </c>
      <c r="D67" s="2">
        <v>23393</v>
      </c>
      <c r="E67" s="2" t="s">
        <v>2874</v>
      </c>
      <c r="F67" s="2" t="s">
        <v>2875</v>
      </c>
      <c r="G67" s="2" t="s">
        <v>2876</v>
      </c>
      <c r="H67" s="2">
        <v>4463114804.1199999</v>
      </c>
      <c r="I67" s="2">
        <v>13850</v>
      </c>
      <c r="J67" s="2">
        <v>15.014747160000001</v>
      </c>
      <c r="K67" s="2" t="s">
        <v>2877</v>
      </c>
      <c r="L67" s="2">
        <v>9436003.6232600007</v>
      </c>
      <c r="M67" s="2">
        <v>45890</v>
      </c>
      <c r="N67" s="2" t="s">
        <v>2878</v>
      </c>
      <c r="O67" s="2">
        <v>2.24E-4</v>
      </c>
      <c r="P67" s="2">
        <v>14254343</v>
      </c>
      <c r="Q67" s="2">
        <v>554</v>
      </c>
    </row>
    <row r="68" spans="1:17" x14ac:dyDescent="0.25">
      <c r="A68" s="1">
        <v>43542</v>
      </c>
      <c r="B68" s="2" t="s">
        <v>2879</v>
      </c>
      <c r="C68" s="2" t="s">
        <v>2880</v>
      </c>
      <c r="D68" s="2">
        <v>23002</v>
      </c>
      <c r="E68" s="2" t="s">
        <v>2881</v>
      </c>
      <c r="F68" s="2" t="s">
        <v>2882</v>
      </c>
      <c r="G68" s="2" t="s">
        <v>2883</v>
      </c>
      <c r="H68" s="2">
        <v>4503125972.4700003</v>
      </c>
      <c r="I68" s="2">
        <v>15650</v>
      </c>
      <c r="J68" s="2">
        <v>15.220512640000001</v>
      </c>
      <c r="K68" s="2" t="s">
        <v>2884</v>
      </c>
      <c r="L68" s="2">
        <v>8917884.1161199994</v>
      </c>
      <c r="M68" s="2">
        <v>45200</v>
      </c>
      <c r="N68" s="2" t="s">
        <v>2885</v>
      </c>
      <c r="O68" s="2">
        <v>2.24E-4</v>
      </c>
      <c r="P68" s="2">
        <v>14300086</v>
      </c>
      <c r="Q68" s="2">
        <v>626</v>
      </c>
    </row>
    <row r="69" spans="1:17" x14ac:dyDescent="0.25">
      <c r="A69" s="1">
        <v>43541</v>
      </c>
      <c r="B69" s="2" t="s">
        <v>2886</v>
      </c>
      <c r="C69" s="2" t="s">
        <v>2887</v>
      </c>
      <c r="D69" s="2">
        <v>19831</v>
      </c>
      <c r="E69" s="2" t="s">
        <v>2888</v>
      </c>
      <c r="F69" s="2" t="s">
        <v>2889</v>
      </c>
      <c r="G69" s="2" t="s">
        <v>2890</v>
      </c>
      <c r="H69" s="2">
        <v>4503025408.7700005</v>
      </c>
      <c r="I69" s="2">
        <v>15900</v>
      </c>
      <c r="J69" s="2">
        <v>13.151668109999999</v>
      </c>
      <c r="K69" s="2" t="s">
        <v>2891</v>
      </c>
      <c r="L69" s="2">
        <v>8917884.1161199994</v>
      </c>
      <c r="M69" s="2">
        <v>40445</v>
      </c>
      <c r="N69" s="2" t="s">
        <v>2892</v>
      </c>
      <c r="O69" s="2">
        <v>2.24E-4</v>
      </c>
      <c r="P69" s="2">
        <v>11439482</v>
      </c>
      <c r="Q69" s="2">
        <v>636</v>
      </c>
    </row>
    <row r="70" spans="1:17" x14ac:dyDescent="0.25">
      <c r="A70" s="1">
        <v>43540</v>
      </c>
      <c r="B70" s="2" t="s">
        <v>2893</v>
      </c>
      <c r="C70" s="2" t="s">
        <v>2894</v>
      </c>
      <c r="D70" s="2">
        <v>24547</v>
      </c>
      <c r="E70" s="2" t="s">
        <v>2895</v>
      </c>
      <c r="F70" s="2" t="s">
        <v>2896</v>
      </c>
      <c r="G70" s="2" t="s">
        <v>2897</v>
      </c>
      <c r="H70" s="2">
        <v>4513961841.0600004</v>
      </c>
      <c r="I70" s="2">
        <v>14250</v>
      </c>
      <c r="J70" s="2">
        <v>15.128488490000001</v>
      </c>
      <c r="K70" s="2" t="s">
        <v>2898</v>
      </c>
      <c r="L70" s="2">
        <v>8917884.1161199994</v>
      </c>
      <c r="M70" s="2">
        <v>46593</v>
      </c>
      <c r="N70" s="2" t="s">
        <v>2899</v>
      </c>
      <c r="O70" s="2">
        <v>2.2080999999999999E-4</v>
      </c>
      <c r="P70" s="2">
        <v>13857656</v>
      </c>
      <c r="Q70" s="2">
        <v>570</v>
      </c>
    </row>
    <row r="71" spans="1:17" x14ac:dyDescent="0.25">
      <c r="A71" s="1">
        <v>43539</v>
      </c>
      <c r="B71" s="2" t="s">
        <v>2900</v>
      </c>
      <c r="C71" s="2" t="s">
        <v>2901</v>
      </c>
      <c r="D71" s="2">
        <v>25489</v>
      </c>
      <c r="E71" s="2" t="s">
        <v>2902</v>
      </c>
      <c r="F71" s="2" t="s">
        <v>2903</v>
      </c>
      <c r="G71" s="2" t="s">
        <v>2904</v>
      </c>
      <c r="H71" s="2">
        <v>4510613944.0299997</v>
      </c>
      <c r="I71" s="2">
        <v>14575</v>
      </c>
      <c r="J71" s="2">
        <v>17.206776390000002</v>
      </c>
      <c r="K71" s="2" t="s">
        <v>2905</v>
      </c>
      <c r="L71" s="2">
        <v>8943856.6543199997</v>
      </c>
      <c r="M71" s="2">
        <v>47382</v>
      </c>
      <c r="N71" s="2" t="s">
        <v>2906</v>
      </c>
      <c r="O71" s="2">
        <v>2.24E-4</v>
      </c>
      <c r="P71" s="2">
        <v>14706665</v>
      </c>
      <c r="Q71" s="2">
        <v>583</v>
      </c>
    </row>
    <row r="72" spans="1:17" x14ac:dyDescent="0.25">
      <c r="A72" s="1">
        <v>43538</v>
      </c>
      <c r="B72" s="2" t="s">
        <v>2907</v>
      </c>
      <c r="C72" s="2" t="s">
        <v>2908</v>
      </c>
      <c r="D72" s="2">
        <v>23712</v>
      </c>
      <c r="E72" s="2" t="s">
        <v>2909</v>
      </c>
      <c r="F72" s="2" t="s">
        <v>2910</v>
      </c>
      <c r="G72" s="2" t="s">
        <v>2911</v>
      </c>
      <c r="H72" s="2">
        <v>4509026182</v>
      </c>
      <c r="I72" s="2">
        <v>14875</v>
      </c>
      <c r="J72" s="2">
        <v>16.954953289999999</v>
      </c>
      <c r="K72" s="2" t="s">
        <v>2912</v>
      </c>
      <c r="L72" s="2">
        <v>8955364.2888200004</v>
      </c>
      <c r="M72" s="2">
        <v>45473</v>
      </c>
      <c r="N72" s="2" t="s">
        <v>2913</v>
      </c>
      <c r="O72" s="2">
        <v>2.24E-4</v>
      </c>
      <c r="P72" s="2">
        <v>13242132</v>
      </c>
      <c r="Q72" s="2">
        <v>595</v>
      </c>
    </row>
    <row r="73" spans="1:17" x14ac:dyDescent="0.25">
      <c r="A73" s="1">
        <v>43537</v>
      </c>
      <c r="B73" s="2" t="s">
        <v>2914</v>
      </c>
      <c r="C73" s="2" t="s">
        <v>2915</v>
      </c>
      <c r="D73" s="2">
        <v>24157</v>
      </c>
      <c r="E73" s="2" t="s">
        <v>2916</v>
      </c>
      <c r="F73" s="2" t="s">
        <v>2917</v>
      </c>
      <c r="G73" s="2" t="s">
        <v>2918</v>
      </c>
      <c r="H73" s="2">
        <v>4506465413.0699997</v>
      </c>
      <c r="I73" s="2">
        <v>14350</v>
      </c>
      <c r="J73" s="2">
        <v>19.796832160000001</v>
      </c>
      <c r="K73" s="2" t="s">
        <v>2919</v>
      </c>
      <c r="L73" s="2">
        <v>8955364.2888200004</v>
      </c>
      <c r="M73" s="2">
        <v>53575</v>
      </c>
      <c r="N73" s="2" t="s">
        <v>2920</v>
      </c>
      <c r="O73" s="2">
        <v>2.24E-4</v>
      </c>
      <c r="P73" s="2">
        <v>15694218</v>
      </c>
      <c r="Q73" s="2">
        <v>574</v>
      </c>
    </row>
    <row r="74" spans="1:17" x14ac:dyDescent="0.25">
      <c r="A74" s="1">
        <v>43536</v>
      </c>
      <c r="B74" s="2" t="s">
        <v>2921</v>
      </c>
      <c r="C74" s="2" t="s">
        <v>2922</v>
      </c>
      <c r="D74" s="2">
        <v>23969</v>
      </c>
      <c r="E74" s="2" t="s">
        <v>2923</v>
      </c>
      <c r="F74" s="2" t="s">
        <v>2924</v>
      </c>
      <c r="G74" s="2" t="s">
        <v>2925</v>
      </c>
      <c r="H74" s="2">
        <v>4505948396.75</v>
      </c>
      <c r="I74" s="2">
        <v>13650</v>
      </c>
      <c r="J74" s="2">
        <v>19.644212360000001</v>
      </c>
      <c r="K74" s="2" t="s">
        <v>2926</v>
      </c>
      <c r="L74" s="2">
        <v>8897697.7210300006</v>
      </c>
      <c r="M74" s="2">
        <v>44071</v>
      </c>
      <c r="N74" s="2" t="s">
        <v>2927</v>
      </c>
      <c r="O74" s="2">
        <v>2.2599999999999999E-4</v>
      </c>
      <c r="P74" s="2">
        <v>17166823</v>
      </c>
      <c r="Q74" s="2">
        <v>546</v>
      </c>
    </row>
    <row r="75" spans="1:17" x14ac:dyDescent="0.25">
      <c r="A75" s="1">
        <v>43535</v>
      </c>
      <c r="B75" s="2" t="s">
        <v>2928</v>
      </c>
      <c r="C75" s="2" t="s">
        <v>2929</v>
      </c>
      <c r="D75" s="2">
        <v>22841</v>
      </c>
      <c r="E75" s="2" t="s">
        <v>2930</v>
      </c>
      <c r="F75" s="2" t="s">
        <v>2931</v>
      </c>
      <c r="G75" s="2" t="s">
        <v>2932</v>
      </c>
      <c r="H75" s="2">
        <v>4506859195.4200001</v>
      </c>
      <c r="I75" s="2">
        <v>15850</v>
      </c>
      <c r="J75" s="2">
        <v>19.288235969999999</v>
      </c>
      <c r="K75" s="2" t="s">
        <v>2933</v>
      </c>
      <c r="L75" s="2">
        <v>8649675.4925500005</v>
      </c>
      <c r="M75" s="2">
        <v>44992</v>
      </c>
      <c r="N75" s="2" t="s">
        <v>2934</v>
      </c>
      <c r="O75" s="2">
        <v>2.2599999999999999E-4</v>
      </c>
      <c r="P75" s="2">
        <v>16446630</v>
      </c>
      <c r="Q75" s="2">
        <v>634</v>
      </c>
    </row>
    <row r="76" spans="1:17" x14ac:dyDescent="0.25">
      <c r="A76" s="1">
        <v>43534</v>
      </c>
      <c r="B76" s="2" t="s">
        <v>2935</v>
      </c>
      <c r="C76" s="2" t="s">
        <v>2936</v>
      </c>
      <c r="D76" s="2">
        <v>20997</v>
      </c>
      <c r="E76" s="2" t="s">
        <v>2937</v>
      </c>
      <c r="F76" s="2" t="s">
        <v>2938</v>
      </c>
      <c r="G76" s="2" t="s">
        <v>2939</v>
      </c>
      <c r="H76" s="2">
        <v>4507518371.8999996</v>
      </c>
      <c r="I76" s="2">
        <v>14325</v>
      </c>
      <c r="J76" s="2">
        <v>13.608830960000001</v>
      </c>
      <c r="K76" s="2" t="s">
        <v>2940</v>
      </c>
      <c r="L76" s="2">
        <v>8649675.4925500005</v>
      </c>
      <c r="M76" s="2">
        <v>40274</v>
      </c>
      <c r="N76" s="2" t="s">
        <v>2941</v>
      </c>
      <c r="O76" s="2">
        <v>2.2599999999999999E-4</v>
      </c>
      <c r="P76" s="2">
        <v>11874099</v>
      </c>
      <c r="Q76" s="2">
        <v>573</v>
      </c>
    </row>
    <row r="77" spans="1:17" x14ac:dyDescent="0.25">
      <c r="A77" s="1">
        <v>43533</v>
      </c>
      <c r="B77" s="2" t="s">
        <v>2942</v>
      </c>
      <c r="C77" s="2" t="s">
        <v>2943</v>
      </c>
      <c r="D77" s="2">
        <v>25435</v>
      </c>
      <c r="E77" s="2" t="s">
        <v>2944</v>
      </c>
      <c r="F77" s="2" t="s">
        <v>2945</v>
      </c>
      <c r="G77" s="2" t="s">
        <v>2946</v>
      </c>
      <c r="H77" s="2">
        <v>4509370927.2299995</v>
      </c>
      <c r="I77" s="2">
        <v>14300</v>
      </c>
      <c r="J77" s="2">
        <v>15.49424617</v>
      </c>
      <c r="K77" s="2" t="s">
        <v>2947</v>
      </c>
      <c r="L77" s="2">
        <v>8649675.4925500005</v>
      </c>
      <c r="M77" s="2">
        <v>47174</v>
      </c>
      <c r="N77" s="2" t="s">
        <v>2948</v>
      </c>
      <c r="O77" s="2">
        <v>2.1986999999999999E-4</v>
      </c>
      <c r="P77" s="2">
        <v>14574992</v>
      </c>
      <c r="Q77" s="2">
        <v>572</v>
      </c>
    </row>
    <row r="78" spans="1:17" x14ac:dyDescent="0.25">
      <c r="A78" s="1">
        <v>43532</v>
      </c>
      <c r="B78" s="2" t="s">
        <v>2949</v>
      </c>
      <c r="C78" s="2" t="s">
        <v>2950</v>
      </c>
      <c r="D78" s="2">
        <v>27135</v>
      </c>
      <c r="E78" s="2" t="s">
        <v>2951</v>
      </c>
      <c r="F78" s="2" t="s">
        <v>2952</v>
      </c>
      <c r="G78" s="2" t="s">
        <v>2953</v>
      </c>
      <c r="H78" s="2">
        <v>4508633293.3699999</v>
      </c>
      <c r="I78" s="2">
        <v>14600</v>
      </c>
      <c r="J78" s="2">
        <v>16.640144639999999</v>
      </c>
      <c r="K78" s="2" t="s">
        <v>2954</v>
      </c>
      <c r="L78" s="2">
        <v>8592648.4537099991</v>
      </c>
      <c r="M78" s="2">
        <v>47833</v>
      </c>
      <c r="N78" s="2" t="s">
        <v>2955</v>
      </c>
      <c r="O78" s="2">
        <v>2.24E-4</v>
      </c>
      <c r="P78" s="2">
        <v>15270363</v>
      </c>
      <c r="Q78" s="2">
        <v>584</v>
      </c>
    </row>
    <row r="79" spans="1:17" x14ac:dyDescent="0.25">
      <c r="A79" s="1">
        <v>43531</v>
      </c>
      <c r="B79" s="2" t="s">
        <v>2956</v>
      </c>
      <c r="C79" s="2" t="s">
        <v>2957</v>
      </c>
      <c r="D79" s="2">
        <v>28190</v>
      </c>
      <c r="E79" s="2" t="s">
        <v>2958</v>
      </c>
      <c r="F79" s="2" t="s">
        <v>2959</v>
      </c>
      <c r="G79" s="2" t="s">
        <v>2960</v>
      </c>
      <c r="H79" s="2">
        <v>4520309818.2700005</v>
      </c>
      <c r="I79" s="2">
        <v>14525</v>
      </c>
      <c r="J79" s="2">
        <v>41.024977040000003</v>
      </c>
      <c r="K79" s="2" t="s">
        <v>2961</v>
      </c>
      <c r="L79" s="2">
        <v>8575667.0688199997</v>
      </c>
      <c r="M79" s="2">
        <v>49255</v>
      </c>
      <c r="N79" s="2" t="s">
        <v>2962</v>
      </c>
      <c r="O79" s="2">
        <v>2.2599999999999999E-4</v>
      </c>
      <c r="P79" s="2">
        <v>37308216</v>
      </c>
      <c r="Q79" s="2">
        <v>581</v>
      </c>
    </row>
    <row r="80" spans="1:17" x14ac:dyDescent="0.25">
      <c r="A80" s="1">
        <v>43530</v>
      </c>
      <c r="B80" s="2" t="s">
        <v>2963</v>
      </c>
      <c r="C80" s="2" t="s">
        <v>2964</v>
      </c>
      <c r="D80" s="2">
        <v>26027</v>
      </c>
      <c r="E80" s="2" t="s">
        <v>2965</v>
      </c>
      <c r="F80" s="2" t="s">
        <v>2966</v>
      </c>
      <c r="G80" s="2" t="s">
        <v>2967</v>
      </c>
      <c r="H80" s="2">
        <v>4522607178.4099998</v>
      </c>
      <c r="I80" s="2">
        <v>14425</v>
      </c>
      <c r="J80" s="2">
        <v>18.265917179999999</v>
      </c>
      <c r="K80" s="2" t="s">
        <v>2968</v>
      </c>
      <c r="L80" s="2">
        <v>8575667.0688199997</v>
      </c>
      <c r="M80" s="2">
        <v>47917</v>
      </c>
      <c r="N80" s="2" t="s">
        <v>2969</v>
      </c>
      <c r="O80" s="2">
        <v>2.2599999999999999E-4</v>
      </c>
      <c r="P80" s="2">
        <v>16363287</v>
      </c>
      <c r="Q80" s="2">
        <v>577</v>
      </c>
    </row>
    <row r="81" spans="1:17" x14ac:dyDescent="0.25">
      <c r="A81" s="1">
        <v>43529</v>
      </c>
      <c r="B81" s="2" t="s">
        <v>2970</v>
      </c>
      <c r="C81" s="2" t="s">
        <v>2971</v>
      </c>
      <c r="D81" s="2">
        <v>26240</v>
      </c>
      <c r="E81" s="2" t="s">
        <v>2972</v>
      </c>
      <c r="F81" s="2" t="s">
        <v>2973</v>
      </c>
      <c r="G81" s="2" t="s">
        <v>2974</v>
      </c>
      <c r="H81" s="2">
        <v>4519029797.3199997</v>
      </c>
      <c r="I81" s="2">
        <v>15750</v>
      </c>
      <c r="J81" s="2">
        <v>18.415499969999999</v>
      </c>
      <c r="K81" s="2" t="s">
        <v>2975</v>
      </c>
      <c r="L81" s="2">
        <v>8408326.6472699996</v>
      </c>
      <c r="M81" s="2">
        <v>49475</v>
      </c>
      <c r="N81" s="2" t="s">
        <v>2976</v>
      </c>
      <c r="O81" s="2">
        <v>2.2599999999999999E-4</v>
      </c>
      <c r="P81" s="2">
        <v>15647986</v>
      </c>
      <c r="Q81" s="2">
        <v>630</v>
      </c>
    </row>
    <row r="82" spans="1:17" x14ac:dyDescent="0.25">
      <c r="A82" s="1">
        <v>43528</v>
      </c>
      <c r="B82" s="2" t="s">
        <v>2977</v>
      </c>
      <c r="C82" s="2" t="s">
        <v>2978</v>
      </c>
      <c r="D82" s="2">
        <v>23390</v>
      </c>
      <c r="E82" s="2" t="s">
        <v>2979</v>
      </c>
      <c r="F82" s="2" t="s">
        <v>2980</v>
      </c>
      <c r="G82" s="2" t="s">
        <v>2981</v>
      </c>
      <c r="H82" s="2">
        <v>4512918640.71</v>
      </c>
      <c r="I82" s="2">
        <v>15550</v>
      </c>
      <c r="J82" s="2">
        <v>18.141677850000001</v>
      </c>
      <c r="K82" s="2" t="s">
        <v>2982</v>
      </c>
      <c r="L82" s="2">
        <v>8100782.0887500001</v>
      </c>
      <c r="M82" s="2">
        <v>46382</v>
      </c>
      <c r="N82" s="2" t="s">
        <v>2983</v>
      </c>
      <c r="O82" s="2">
        <v>2.2599999999999999E-4</v>
      </c>
      <c r="P82" s="2">
        <v>15194008</v>
      </c>
      <c r="Q82" s="2">
        <v>622</v>
      </c>
    </row>
    <row r="83" spans="1:17" x14ac:dyDescent="0.25">
      <c r="A83" s="1">
        <v>43527</v>
      </c>
      <c r="B83" s="2" t="s">
        <v>2984</v>
      </c>
      <c r="C83" s="2" t="s">
        <v>2985</v>
      </c>
      <c r="D83" s="2">
        <v>20828</v>
      </c>
      <c r="E83" s="2" t="s">
        <v>2986</v>
      </c>
      <c r="F83" s="2" t="s">
        <v>2987</v>
      </c>
      <c r="G83" s="2" t="s">
        <v>2988</v>
      </c>
      <c r="H83" s="2">
        <v>4514978564.25</v>
      </c>
      <c r="I83" s="2">
        <v>15100</v>
      </c>
      <c r="J83" s="2">
        <v>13.35044203</v>
      </c>
      <c r="K83" s="2" t="s">
        <v>2989</v>
      </c>
      <c r="L83" s="2">
        <v>8100782.0887500001</v>
      </c>
      <c r="M83" s="2">
        <v>41617</v>
      </c>
      <c r="N83" s="2" t="s">
        <v>2990</v>
      </c>
      <c r="O83" s="2">
        <v>2.2410999999999999E-4</v>
      </c>
      <c r="P83" s="2">
        <v>11879218</v>
      </c>
      <c r="Q83" s="2">
        <v>604</v>
      </c>
    </row>
    <row r="84" spans="1:17" x14ac:dyDescent="0.25">
      <c r="A84" s="1">
        <v>43526</v>
      </c>
      <c r="B84" s="2" t="s">
        <v>2991</v>
      </c>
      <c r="C84" s="2" t="s">
        <v>2992</v>
      </c>
      <c r="D84" s="2">
        <v>23958</v>
      </c>
      <c r="E84" s="2" t="s">
        <v>2993</v>
      </c>
      <c r="F84" s="2" t="s">
        <v>2994</v>
      </c>
      <c r="G84" s="2" t="s">
        <v>2995</v>
      </c>
      <c r="H84" s="2">
        <v>4515368067.8199997</v>
      </c>
      <c r="I84" s="2">
        <v>14600</v>
      </c>
      <c r="J84" s="2">
        <v>14.710546799999999</v>
      </c>
      <c r="K84" s="2" t="s">
        <v>2996</v>
      </c>
      <c r="L84" s="2">
        <v>8104821.2526399996</v>
      </c>
      <c r="M84" s="2">
        <v>46394</v>
      </c>
      <c r="N84" s="2" t="s">
        <v>2997</v>
      </c>
      <c r="O84" s="2">
        <v>1.6799999999999999E-4</v>
      </c>
      <c r="P84" s="2">
        <v>13419956</v>
      </c>
      <c r="Q84" s="2">
        <v>584</v>
      </c>
    </row>
    <row r="85" spans="1:17" x14ac:dyDescent="0.25">
      <c r="A85" s="1">
        <v>43525</v>
      </c>
      <c r="B85" s="2" t="s">
        <v>2998</v>
      </c>
      <c r="C85" s="2" t="s">
        <v>2999</v>
      </c>
      <c r="D85" s="2">
        <v>26147</v>
      </c>
      <c r="E85" s="2" t="s">
        <v>3000</v>
      </c>
      <c r="F85" s="2" t="s">
        <v>3001</v>
      </c>
      <c r="G85" s="2" t="s">
        <v>3002</v>
      </c>
      <c r="H85" s="2">
        <v>4514777812.4700003</v>
      </c>
      <c r="I85" s="2">
        <v>14350</v>
      </c>
      <c r="J85" s="2">
        <v>17.56429426</v>
      </c>
      <c r="K85" s="2" t="s">
        <v>3003</v>
      </c>
      <c r="L85" s="2">
        <v>8248211.57051</v>
      </c>
      <c r="M85" s="2">
        <v>50176</v>
      </c>
      <c r="N85" s="2" t="s">
        <v>3004</v>
      </c>
      <c r="O85" s="2">
        <v>2.1107E-4</v>
      </c>
      <c r="P85" s="2">
        <v>15423979</v>
      </c>
      <c r="Q85" s="2">
        <v>574</v>
      </c>
    </row>
    <row r="86" spans="1:17" x14ac:dyDescent="0.25">
      <c r="A86" s="1">
        <v>43524</v>
      </c>
      <c r="B86" s="2" t="s">
        <v>3005</v>
      </c>
      <c r="C86" s="2" t="s">
        <v>3006</v>
      </c>
      <c r="D86" s="2">
        <v>23633</v>
      </c>
      <c r="E86" s="2" t="s">
        <v>3007</v>
      </c>
      <c r="F86" s="2" t="s">
        <v>3008</v>
      </c>
      <c r="G86" s="2" t="s">
        <v>3009</v>
      </c>
      <c r="H86" s="2">
        <v>4511870583.0500002</v>
      </c>
      <c r="I86" s="2">
        <v>13350</v>
      </c>
      <c r="J86" s="2">
        <v>13.613648749999999</v>
      </c>
      <c r="K86" s="2" t="s">
        <v>3010</v>
      </c>
      <c r="L86" s="2">
        <v>8248211.57051</v>
      </c>
      <c r="M86" s="2">
        <v>45643</v>
      </c>
      <c r="N86" s="2" t="s">
        <v>3011</v>
      </c>
      <c r="O86" s="2">
        <v>1.8799999999999999E-4</v>
      </c>
      <c r="P86" s="2">
        <v>13058864</v>
      </c>
      <c r="Q86" s="2">
        <v>534</v>
      </c>
    </row>
    <row r="87" spans="1:17" x14ac:dyDescent="0.25">
      <c r="A87" s="1">
        <v>43523</v>
      </c>
      <c r="B87" s="2" t="s">
        <v>3012</v>
      </c>
      <c r="C87" s="2" t="s">
        <v>3013</v>
      </c>
      <c r="D87" s="2">
        <v>23361</v>
      </c>
      <c r="E87" s="2" t="s">
        <v>3014</v>
      </c>
      <c r="F87" s="2" t="s">
        <v>3015</v>
      </c>
      <c r="G87" s="2" t="s">
        <v>3016</v>
      </c>
      <c r="H87" s="2">
        <v>4510942055.96</v>
      </c>
      <c r="I87" s="2">
        <v>14950</v>
      </c>
      <c r="J87" s="2">
        <v>14.19645819</v>
      </c>
      <c r="K87" s="2" t="s">
        <v>3017</v>
      </c>
      <c r="L87" s="2">
        <v>8248211.57051</v>
      </c>
      <c r="M87" s="2">
        <v>45663</v>
      </c>
      <c r="N87" s="2" t="s">
        <v>3018</v>
      </c>
      <c r="O87" s="2">
        <v>2.24E-4</v>
      </c>
      <c r="P87" s="2">
        <v>13066668</v>
      </c>
      <c r="Q87" s="2">
        <v>598</v>
      </c>
    </row>
    <row r="88" spans="1:17" x14ac:dyDescent="0.25">
      <c r="A88" s="1">
        <v>43522</v>
      </c>
      <c r="B88" s="2" t="s">
        <v>3019</v>
      </c>
      <c r="C88" s="2" t="s">
        <v>3020</v>
      </c>
      <c r="D88" s="2">
        <v>22563</v>
      </c>
      <c r="E88" s="2" t="s">
        <v>3021</v>
      </c>
      <c r="F88" s="2" t="s">
        <v>3022</v>
      </c>
      <c r="G88" s="2" t="s">
        <v>3023</v>
      </c>
      <c r="H88" s="2">
        <v>4512297794.2299995</v>
      </c>
      <c r="I88" s="2">
        <v>14950</v>
      </c>
      <c r="J88" s="2">
        <v>14.899027520000001</v>
      </c>
      <c r="K88" s="2" t="s">
        <v>3024</v>
      </c>
      <c r="L88" s="2">
        <v>8059156.1788799996</v>
      </c>
      <c r="M88" s="2">
        <v>45835</v>
      </c>
      <c r="N88" s="2" t="s">
        <v>3025</v>
      </c>
      <c r="O88" s="2">
        <v>2.24E-4</v>
      </c>
      <c r="P88" s="2">
        <v>12693462</v>
      </c>
      <c r="Q88" s="2">
        <v>598</v>
      </c>
    </row>
    <row r="89" spans="1:17" x14ac:dyDescent="0.25">
      <c r="A89" s="1">
        <v>43521</v>
      </c>
      <c r="B89" s="2" t="s">
        <v>3026</v>
      </c>
      <c r="C89" s="2" t="s">
        <v>3027</v>
      </c>
      <c r="D89" s="2">
        <v>24141</v>
      </c>
      <c r="E89" s="2" t="s">
        <v>3028</v>
      </c>
      <c r="F89" s="2" t="s">
        <v>3029</v>
      </c>
      <c r="G89" s="2" t="s">
        <v>3030</v>
      </c>
      <c r="H89" s="2">
        <v>4512917250.1899996</v>
      </c>
      <c r="I89" s="2">
        <v>14575</v>
      </c>
      <c r="J89" s="2">
        <v>16.7952549</v>
      </c>
      <c r="K89" s="2" t="s">
        <v>3031</v>
      </c>
      <c r="L89" s="2">
        <v>7876319.7145999996</v>
      </c>
      <c r="M89" s="2">
        <v>47723</v>
      </c>
      <c r="N89" s="2" t="s">
        <v>3032</v>
      </c>
      <c r="O89" s="2">
        <v>2.24E-4</v>
      </c>
      <c r="P89" s="2">
        <v>15675984</v>
      </c>
      <c r="Q89" s="2">
        <v>583</v>
      </c>
    </row>
    <row r="90" spans="1:17" x14ac:dyDescent="0.25">
      <c r="A90" s="1">
        <v>43520</v>
      </c>
      <c r="B90" s="2" t="s">
        <v>3033</v>
      </c>
      <c r="C90" s="2" t="s">
        <v>3034</v>
      </c>
      <c r="D90" s="2">
        <v>24340</v>
      </c>
      <c r="E90" s="2" t="s">
        <v>3035</v>
      </c>
      <c r="F90" s="2" t="s">
        <v>3036</v>
      </c>
      <c r="G90" s="2" t="s">
        <v>3037</v>
      </c>
      <c r="H90" s="2">
        <v>4512974815.8199997</v>
      </c>
      <c r="I90" s="2">
        <v>14350</v>
      </c>
      <c r="J90" s="2">
        <v>16.66327944</v>
      </c>
      <c r="K90" s="2" t="s">
        <v>3038</v>
      </c>
      <c r="L90" s="2">
        <v>7876319.7145999996</v>
      </c>
      <c r="M90" s="2">
        <v>49896</v>
      </c>
      <c r="N90" s="2" t="s">
        <v>3039</v>
      </c>
      <c r="O90" s="2">
        <v>2.2599999999999999E-4</v>
      </c>
      <c r="P90" s="2">
        <v>15020370</v>
      </c>
      <c r="Q90" s="2">
        <v>574</v>
      </c>
    </row>
    <row r="91" spans="1:17" x14ac:dyDescent="0.25">
      <c r="A91" s="1">
        <v>43519</v>
      </c>
      <c r="B91" s="2" t="s">
        <v>3040</v>
      </c>
      <c r="C91" s="2" t="s">
        <v>3041</v>
      </c>
      <c r="D91" s="2">
        <v>24851</v>
      </c>
      <c r="E91" s="2" t="s">
        <v>3042</v>
      </c>
      <c r="F91" s="2" t="s">
        <v>3043</v>
      </c>
      <c r="G91" s="2" t="s">
        <v>3044</v>
      </c>
      <c r="H91" s="2">
        <v>4518068504.71</v>
      </c>
      <c r="I91" s="2">
        <v>15550</v>
      </c>
      <c r="J91" s="2">
        <v>15.171431589999999</v>
      </c>
      <c r="K91" s="2" t="s">
        <v>3045</v>
      </c>
      <c r="L91" s="2">
        <v>7857109.5372400004</v>
      </c>
      <c r="M91" s="2">
        <v>46633</v>
      </c>
      <c r="N91" s="2" t="s">
        <v>3046</v>
      </c>
      <c r="O91" s="2">
        <v>2.2599999999999999E-4</v>
      </c>
      <c r="P91" s="2">
        <v>13543889</v>
      </c>
      <c r="Q91" s="2">
        <v>622</v>
      </c>
    </row>
    <row r="92" spans="1:17" x14ac:dyDescent="0.25">
      <c r="A92" s="1">
        <v>43518</v>
      </c>
      <c r="B92" s="2" t="s">
        <v>3047</v>
      </c>
      <c r="C92" s="2" t="s">
        <v>3048</v>
      </c>
      <c r="D92" s="2">
        <v>25684</v>
      </c>
      <c r="E92" s="2" t="s">
        <v>3049</v>
      </c>
      <c r="F92" s="2" t="s">
        <v>3050</v>
      </c>
      <c r="G92" s="2" t="s">
        <v>3051</v>
      </c>
      <c r="H92" s="2">
        <v>4516243778.3999996</v>
      </c>
      <c r="I92" s="2">
        <v>14325</v>
      </c>
      <c r="J92" s="2">
        <v>16.14706108</v>
      </c>
      <c r="K92" s="2" t="s">
        <v>3052</v>
      </c>
      <c r="L92" s="2">
        <v>7697980.4560700003</v>
      </c>
      <c r="M92" s="2">
        <v>48874</v>
      </c>
      <c r="N92" s="2" t="s">
        <v>3053</v>
      </c>
      <c r="O92" s="2">
        <v>2.24E-4</v>
      </c>
      <c r="P92" s="2">
        <v>14850286</v>
      </c>
      <c r="Q92" s="2">
        <v>573</v>
      </c>
    </row>
    <row r="93" spans="1:17" x14ac:dyDescent="0.25">
      <c r="A93" s="1">
        <v>43517</v>
      </c>
      <c r="B93" s="2" t="s">
        <v>3054</v>
      </c>
      <c r="C93" s="2" t="s">
        <v>3055</v>
      </c>
      <c r="D93" s="2">
        <v>24425</v>
      </c>
      <c r="E93" s="2" t="s">
        <v>3056</v>
      </c>
      <c r="F93" s="2" t="s">
        <v>3057</v>
      </c>
      <c r="G93" s="2" t="s">
        <v>3058</v>
      </c>
      <c r="H93" s="2">
        <v>4515685818.0500002</v>
      </c>
      <c r="I93" s="2">
        <v>14900</v>
      </c>
      <c r="J93" s="2">
        <v>16.721850620000001</v>
      </c>
      <c r="K93" s="2" t="s">
        <v>3059</v>
      </c>
      <c r="L93" s="2">
        <v>7697980.4560700003</v>
      </c>
      <c r="M93" s="2">
        <v>49753</v>
      </c>
      <c r="N93" s="2" t="s">
        <v>3060</v>
      </c>
      <c r="O93" s="2">
        <v>2.2599999999999999E-4</v>
      </c>
      <c r="P93" s="2">
        <v>14922442</v>
      </c>
      <c r="Q93" s="2">
        <v>596</v>
      </c>
    </row>
    <row r="94" spans="1:17" x14ac:dyDescent="0.25">
      <c r="A94" s="1">
        <v>43516</v>
      </c>
      <c r="B94" s="2" t="s">
        <v>3061</v>
      </c>
      <c r="C94" s="2" t="s">
        <v>3062</v>
      </c>
      <c r="D94" s="2">
        <v>25819</v>
      </c>
      <c r="E94" s="2" t="s">
        <v>3063</v>
      </c>
      <c r="F94" s="2" t="s">
        <v>3064</v>
      </c>
      <c r="G94" s="2" t="s">
        <v>3065</v>
      </c>
      <c r="H94" s="2">
        <v>4517835577.71</v>
      </c>
      <c r="I94" s="2">
        <v>14625</v>
      </c>
      <c r="J94" s="2">
        <v>17.976599419999999</v>
      </c>
      <c r="K94" s="2" t="s">
        <v>3066</v>
      </c>
      <c r="L94" s="2">
        <v>7697980.4560700003</v>
      </c>
      <c r="M94" s="2">
        <v>52047</v>
      </c>
      <c r="N94" s="2" t="s">
        <v>3067</v>
      </c>
      <c r="O94" s="2">
        <v>2.2599999999999999E-4</v>
      </c>
      <c r="P94" s="2">
        <v>15615604</v>
      </c>
      <c r="Q94" s="2">
        <v>585</v>
      </c>
    </row>
    <row r="95" spans="1:17" x14ac:dyDescent="0.25">
      <c r="A95" s="1">
        <v>43515</v>
      </c>
      <c r="B95" s="2" t="s">
        <v>3068</v>
      </c>
      <c r="C95" s="2" t="s">
        <v>3069</v>
      </c>
      <c r="D95" s="2">
        <v>25854</v>
      </c>
      <c r="E95" s="2" t="s">
        <v>3070</v>
      </c>
      <c r="F95" s="2" t="s">
        <v>3071</v>
      </c>
      <c r="G95" s="2" t="s">
        <v>3072</v>
      </c>
      <c r="H95" s="2">
        <v>4513102465.4499998</v>
      </c>
      <c r="I95" s="2">
        <v>15125</v>
      </c>
      <c r="J95" s="2">
        <v>17.664113780000001</v>
      </c>
      <c r="K95" s="2" t="s">
        <v>3073</v>
      </c>
      <c r="L95" s="2">
        <v>7589468.9675200004</v>
      </c>
      <c r="M95" s="2">
        <v>48868</v>
      </c>
      <c r="N95" s="2" t="s">
        <v>3074</v>
      </c>
      <c r="O95" s="2">
        <v>2.2599999999999999E-4</v>
      </c>
      <c r="P95" s="2">
        <v>15151372</v>
      </c>
      <c r="Q95" s="2">
        <v>605</v>
      </c>
    </row>
    <row r="96" spans="1:17" x14ac:dyDescent="0.25">
      <c r="A96" s="1">
        <v>43514</v>
      </c>
      <c r="B96" s="2" t="s">
        <v>3075</v>
      </c>
      <c r="C96" s="2" t="s">
        <v>3076</v>
      </c>
      <c r="D96" s="2">
        <v>26120</v>
      </c>
      <c r="E96" s="2" t="s">
        <v>3077</v>
      </c>
      <c r="F96" s="2" t="s">
        <v>3078</v>
      </c>
      <c r="G96" s="2" t="s">
        <v>3079</v>
      </c>
      <c r="H96" s="2">
        <v>4512085317.4899998</v>
      </c>
      <c r="I96" s="2">
        <v>15100</v>
      </c>
      <c r="J96" s="2">
        <v>19.18493776</v>
      </c>
      <c r="K96" s="2" t="s">
        <v>3080</v>
      </c>
      <c r="L96" s="2">
        <v>7537859.8449200001</v>
      </c>
      <c r="M96" s="2">
        <v>50778</v>
      </c>
      <c r="N96" s="2" t="s">
        <v>3081</v>
      </c>
      <c r="O96" s="2">
        <v>2.2599999999999999E-4</v>
      </c>
      <c r="P96" s="2">
        <v>17557986</v>
      </c>
      <c r="Q96" s="2">
        <v>604</v>
      </c>
    </row>
    <row r="97" spans="1:17" x14ac:dyDescent="0.25">
      <c r="A97" s="1">
        <v>43513</v>
      </c>
      <c r="B97" s="2" t="s">
        <v>3082</v>
      </c>
      <c r="C97" s="2" t="s">
        <v>3083</v>
      </c>
      <c r="D97" s="2">
        <v>22042</v>
      </c>
      <c r="E97" s="2" t="s">
        <v>3084</v>
      </c>
      <c r="F97" s="2" t="s">
        <v>3085</v>
      </c>
      <c r="G97" s="2" t="s">
        <v>3086</v>
      </c>
      <c r="H97" s="2">
        <v>4506710359.5799999</v>
      </c>
      <c r="I97" s="2">
        <v>14550</v>
      </c>
      <c r="J97" s="2">
        <v>14.872847220000001</v>
      </c>
      <c r="K97" s="2" t="s">
        <v>3087</v>
      </c>
      <c r="L97" s="2">
        <v>7537859.8449200001</v>
      </c>
      <c r="M97" s="2">
        <v>47072</v>
      </c>
      <c r="N97" s="2" t="s">
        <v>3088</v>
      </c>
      <c r="O97" s="2">
        <v>2.2599999999999999E-4</v>
      </c>
      <c r="P97" s="2">
        <v>12874694</v>
      </c>
      <c r="Q97" s="2">
        <v>582</v>
      </c>
    </row>
    <row r="98" spans="1:17" x14ac:dyDescent="0.25">
      <c r="A98" s="1">
        <v>43512</v>
      </c>
      <c r="B98" s="2" t="s">
        <v>3089</v>
      </c>
      <c r="C98" s="2" t="s">
        <v>3090</v>
      </c>
      <c r="D98" s="2">
        <v>23423</v>
      </c>
      <c r="E98" s="2" t="s">
        <v>3091</v>
      </c>
      <c r="F98" s="2" t="s">
        <v>3092</v>
      </c>
      <c r="G98" s="2" t="s">
        <v>3093</v>
      </c>
      <c r="H98" s="2">
        <v>4507232527.7799997</v>
      </c>
      <c r="I98" s="2">
        <v>14925</v>
      </c>
      <c r="J98" s="2">
        <v>14.67337137</v>
      </c>
      <c r="K98" s="2" t="s">
        <v>3094</v>
      </c>
      <c r="L98" s="2">
        <v>7482528.9331999999</v>
      </c>
      <c r="M98" s="2">
        <v>47423</v>
      </c>
      <c r="N98" s="2" t="s">
        <v>3095</v>
      </c>
      <c r="O98" s="2">
        <v>2.2599999999999999E-4</v>
      </c>
      <c r="P98" s="2">
        <v>13497556</v>
      </c>
      <c r="Q98" s="2">
        <v>597</v>
      </c>
    </row>
    <row r="99" spans="1:17" x14ac:dyDescent="0.25">
      <c r="A99" s="1">
        <v>43511</v>
      </c>
      <c r="B99" s="2" t="s">
        <v>3096</v>
      </c>
      <c r="C99" s="2" t="s">
        <v>3097</v>
      </c>
      <c r="D99" s="2">
        <v>24256</v>
      </c>
      <c r="E99" s="2" t="s">
        <v>3098</v>
      </c>
      <c r="F99" s="2" t="s">
        <v>3099</v>
      </c>
      <c r="G99" s="2" t="s">
        <v>3100</v>
      </c>
      <c r="H99" s="2">
        <v>4506143530.7600002</v>
      </c>
      <c r="I99" s="2">
        <v>14750</v>
      </c>
      <c r="J99" s="2">
        <v>14.90664267</v>
      </c>
      <c r="K99" s="2" t="s">
        <v>3101</v>
      </c>
      <c r="L99" s="2">
        <v>7351235.2443700004</v>
      </c>
      <c r="M99" s="2">
        <v>47731</v>
      </c>
      <c r="N99" s="2" t="s">
        <v>3102</v>
      </c>
      <c r="O99" s="2">
        <v>2.24E-4</v>
      </c>
      <c r="P99" s="2">
        <v>15589053</v>
      </c>
      <c r="Q99" s="2">
        <v>590</v>
      </c>
    </row>
    <row r="100" spans="1:17" x14ac:dyDescent="0.25">
      <c r="A100" s="1">
        <v>43510</v>
      </c>
      <c r="B100" s="2" t="s">
        <v>3103</v>
      </c>
      <c r="C100" s="2" t="s">
        <v>3104</v>
      </c>
      <c r="D100" s="2">
        <v>23170</v>
      </c>
      <c r="E100" s="2" t="s">
        <v>3105</v>
      </c>
      <c r="F100" s="2" t="s">
        <v>3106</v>
      </c>
      <c r="G100" s="2" t="s">
        <v>3107</v>
      </c>
      <c r="H100" s="2">
        <v>4505129943.6700001</v>
      </c>
      <c r="I100" s="2">
        <v>14425</v>
      </c>
      <c r="J100" s="2">
        <v>14.12570934</v>
      </c>
      <c r="K100" s="2" t="s">
        <v>3108</v>
      </c>
      <c r="L100" s="2">
        <v>7351235.2443700004</v>
      </c>
      <c r="M100" s="2">
        <v>46651</v>
      </c>
      <c r="N100" s="2" t="s">
        <v>3109</v>
      </c>
      <c r="O100" s="2">
        <v>2.24E-4</v>
      </c>
      <c r="P100" s="2">
        <v>14543498</v>
      </c>
      <c r="Q100" s="2">
        <v>577</v>
      </c>
    </row>
    <row r="101" spans="1:17" x14ac:dyDescent="0.25">
      <c r="A101" s="1">
        <v>43509</v>
      </c>
      <c r="B101" s="2" t="s">
        <v>3110</v>
      </c>
      <c r="C101" s="2" t="s">
        <v>3111</v>
      </c>
      <c r="D101" s="2">
        <v>24334</v>
      </c>
      <c r="E101" s="2" t="s">
        <v>3112</v>
      </c>
      <c r="F101" s="2" t="s">
        <v>3113</v>
      </c>
      <c r="G101" s="2" t="s">
        <v>3114</v>
      </c>
      <c r="H101" s="2">
        <v>4511759965.0500002</v>
      </c>
      <c r="I101" s="2">
        <v>14700</v>
      </c>
      <c r="J101" s="2">
        <v>15.317042969999999</v>
      </c>
      <c r="K101" s="2" t="s">
        <v>3115</v>
      </c>
      <c r="L101" s="2">
        <v>7351235.2443700004</v>
      </c>
      <c r="M101" s="2">
        <v>52764</v>
      </c>
      <c r="N101" s="2" t="s">
        <v>3116</v>
      </c>
      <c r="O101" s="2">
        <v>2.2599999999999999E-4</v>
      </c>
      <c r="P101" s="2">
        <v>13995420</v>
      </c>
      <c r="Q101" s="2">
        <v>588</v>
      </c>
    </row>
    <row r="102" spans="1:17" x14ac:dyDescent="0.25">
      <c r="A102" s="1">
        <v>43508</v>
      </c>
      <c r="B102" s="2" t="s">
        <v>3117</v>
      </c>
      <c r="C102" s="2" t="s">
        <v>3118</v>
      </c>
      <c r="D102" s="2">
        <v>24061</v>
      </c>
      <c r="E102" s="2" t="s">
        <v>3119</v>
      </c>
      <c r="F102" s="2" t="s">
        <v>3120</v>
      </c>
      <c r="G102" s="2" t="s">
        <v>3121</v>
      </c>
      <c r="H102" s="2">
        <v>4515073602.4399996</v>
      </c>
      <c r="I102" s="2">
        <v>14650</v>
      </c>
      <c r="J102" s="2">
        <v>15.89010524</v>
      </c>
      <c r="K102" s="2" t="s">
        <v>3122</v>
      </c>
      <c r="L102" s="2">
        <v>7179423.7591300001</v>
      </c>
      <c r="M102" s="2">
        <v>45949</v>
      </c>
      <c r="N102" s="2" t="s">
        <v>3123</v>
      </c>
      <c r="O102" s="2">
        <v>2.24E-4</v>
      </c>
      <c r="P102" s="2">
        <v>14040304</v>
      </c>
      <c r="Q102" s="2">
        <v>586</v>
      </c>
    </row>
    <row r="103" spans="1:17" x14ac:dyDescent="0.25">
      <c r="A103" s="1">
        <v>43507</v>
      </c>
      <c r="B103" s="2" t="s">
        <v>3124</v>
      </c>
      <c r="C103" s="2" t="s">
        <v>3125</v>
      </c>
      <c r="D103" s="2">
        <v>24721</v>
      </c>
      <c r="E103" s="2" t="s">
        <v>3126</v>
      </c>
      <c r="F103" s="2" t="s">
        <v>3127</v>
      </c>
      <c r="G103" s="2" t="s">
        <v>3128</v>
      </c>
      <c r="H103" s="2">
        <v>4513825896.8000002</v>
      </c>
      <c r="I103" s="2">
        <v>14975</v>
      </c>
      <c r="J103" s="2">
        <v>17.086372050000001</v>
      </c>
      <c r="K103" s="2" t="s">
        <v>3129</v>
      </c>
      <c r="L103" s="2">
        <v>7150674.4269399997</v>
      </c>
      <c r="M103" s="2">
        <v>48050</v>
      </c>
      <c r="N103" s="2" t="s">
        <v>3130</v>
      </c>
      <c r="O103" s="2">
        <v>2.2599999999999999E-4</v>
      </c>
      <c r="P103" s="2">
        <v>14914412</v>
      </c>
      <c r="Q103" s="2">
        <v>599</v>
      </c>
    </row>
    <row r="104" spans="1:17" x14ac:dyDescent="0.25">
      <c r="A104" s="1">
        <v>43506</v>
      </c>
      <c r="B104" s="2" t="s">
        <v>3131</v>
      </c>
      <c r="C104" s="2" t="s">
        <v>3132</v>
      </c>
      <c r="D104" s="2">
        <v>24705</v>
      </c>
      <c r="E104" s="2" t="s">
        <v>3133</v>
      </c>
      <c r="F104" s="2" t="s">
        <v>3134</v>
      </c>
      <c r="G104" s="2" t="s">
        <v>3135</v>
      </c>
      <c r="H104" s="2">
        <v>4517328389.2200003</v>
      </c>
      <c r="I104" s="2">
        <v>14850</v>
      </c>
      <c r="J104" s="2">
        <v>18.021497480000001</v>
      </c>
      <c r="K104" s="2" t="s">
        <v>3136</v>
      </c>
      <c r="L104" s="2">
        <v>7150674.4269399997</v>
      </c>
      <c r="M104" s="2">
        <v>49763</v>
      </c>
      <c r="N104" s="2" t="s">
        <v>3137</v>
      </c>
      <c r="O104" s="2">
        <v>2.1107E-4</v>
      </c>
      <c r="P104" s="2">
        <v>15390828</v>
      </c>
      <c r="Q104" s="2">
        <v>594</v>
      </c>
    </row>
    <row r="105" spans="1:17" x14ac:dyDescent="0.25">
      <c r="A105" s="1">
        <v>43505</v>
      </c>
      <c r="B105" s="2" t="s">
        <v>3138</v>
      </c>
      <c r="C105" s="2" t="s">
        <v>3139</v>
      </c>
      <c r="D105" s="2">
        <v>29388</v>
      </c>
      <c r="E105" s="2" t="s">
        <v>3140</v>
      </c>
      <c r="F105" s="2" t="s">
        <v>3141</v>
      </c>
      <c r="G105" s="2" t="s">
        <v>3142</v>
      </c>
      <c r="H105" s="2">
        <v>4506219142.0600004</v>
      </c>
      <c r="I105" s="2">
        <v>14425</v>
      </c>
      <c r="J105" s="2">
        <v>18.51391593</v>
      </c>
      <c r="K105" s="2" t="s">
        <v>3143</v>
      </c>
      <c r="L105" s="2">
        <v>7131335.9927399997</v>
      </c>
      <c r="M105" s="2">
        <v>50940</v>
      </c>
      <c r="N105" s="2" t="s">
        <v>3144</v>
      </c>
      <c r="O105" s="2">
        <v>1.6799999999999999E-4</v>
      </c>
      <c r="P105" s="2">
        <v>16817671</v>
      </c>
      <c r="Q105" s="2">
        <v>577</v>
      </c>
    </row>
    <row r="106" spans="1:17" x14ac:dyDescent="0.25">
      <c r="A106" s="1">
        <v>43504</v>
      </c>
      <c r="B106" s="2" t="s">
        <v>3145</v>
      </c>
      <c r="C106" s="2" t="s">
        <v>3146</v>
      </c>
      <c r="D106" s="2">
        <v>31023</v>
      </c>
      <c r="E106" s="2" t="s">
        <v>3147</v>
      </c>
      <c r="F106" s="2" t="s">
        <v>3148</v>
      </c>
      <c r="G106" s="2" t="s">
        <v>3149</v>
      </c>
      <c r="H106" s="2">
        <v>4506479946.7200003</v>
      </c>
      <c r="I106" s="2">
        <v>14350</v>
      </c>
      <c r="J106" s="2">
        <v>21.44530314</v>
      </c>
      <c r="K106" s="2" t="s">
        <v>3150</v>
      </c>
      <c r="L106" s="2">
        <v>7107087.4092499996</v>
      </c>
      <c r="M106" s="2">
        <v>54835</v>
      </c>
      <c r="N106" s="2" t="s">
        <v>3151</v>
      </c>
      <c r="O106" s="2">
        <v>1.92E-4</v>
      </c>
      <c r="P106" s="2">
        <v>18692148</v>
      </c>
      <c r="Q106" s="2">
        <v>574</v>
      </c>
    </row>
    <row r="107" spans="1:17" x14ac:dyDescent="0.25">
      <c r="A107" s="1">
        <v>43503</v>
      </c>
      <c r="B107" s="2" t="s">
        <v>3152</v>
      </c>
      <c r="C107" s="2" t="s">
        <v>3153</v>
      </c>
      <c r="D107" s="2">
        <v>21709</v>
      </c>
      <c r="E107" s="2" t="s">
        <v>3154</v>
      </c>
      <c r="F107" s="2" t="s">
        <v>3155</v>
      </c>
      <c r="G107" s="2" t="s">
        <v>3156</v>
      </c>
      <c r="H107" s="2">
        <v>4500201282.1999998</v>
      </c>
      <c r="I107" s="2">
        <v>14700</v>
      </c>
      <c r="J107" s="2">
        <v>13.57008634</v>
      </c>
      <c r="K107" s="2" t="s">
        <v>3157</v>
      </c>
      <c r="L107" s="2">
        <v>7107087.4092499996</v>
      </c>
      <c r="M107" s="2">
        <v>46340</v>
      </c>
      <c r="N107" s="2" t="s">
        <v>3158</v>
      </c>
      <c r="O107" s="2">
        <v>1.7417999999999999E-4</v>
      </c>
      <c r="P107" s="2">
        <v>12746598</v>
      </c>
      <c r="Q107" s="2">
        <v>588</v>
      </c>
    </row>
    <row r="108" spans="1:17" x14ac:dyDescent="0.25">
      <c r="A108" s="1">
        <v>43502</v>
      </c>
      <c r="B108" s="2" t="s">
        <v>3159</v>
      </c>
      <c r="C108" s="2" t="s">
        <v>3160</v>
      </c>
      <c r="D108" s="2">
        <v>21421</v>
      </c>
      <c r="E108" s="2" t="s">
        <v>3161</v>
      </c>
      <c r="F108" s="2" t="s">
        <v>3162</v>
      </c>
      <c r="G108" s="2" t="s">
        <v>3163</v>
      </c>
      <c r="H108" s="2">
        <v>4500974502.2299995</v>
      </c>
      <c r="I108" s="2">
        <v>14525</v>
      </c>
      <c r="J108" s="2">
        <v>14.35722702</v>
      </c>
      <c r="K108" s="2" t="s">
        <v>3164</v>
      </c>
      <c r="L108" s="2">
        <v>7107087.4092499996</v>
      </c>
      <c r="M108" s="2">
        <v>43238</v>
      </c>
      <c r="N108" s="2" t="s">
        <v>3165</v>
      </c>
      <c r="O108" s="2">
        <v>1.6799999999999999E-4</v>
      </c>
      <c r="P108" s="2">
        <v>12593732</v>
      </c>
      <c r="Q108" s="2">
        <v>581</v>
      </c>
    </row>
    <row r="109" spans="1:17" x14ac:dyDescent="0.25">
      <c r="A109" s="1">
        <v>43501</v>
      </c>
      <c r="B109" s="2" t="s">
        <v>3166</v>
      </c>
      <c r="C109" s="2" t="s">
        <v>3167</v>
      </c>
      <c r="D109" s="2">
        <v>22150</v>
      </c>
      <c r="E109" s="2" t="s">
        <v>3168</v>
      </c>
      <c r="F109" s="2" t="s">
        <v>3169</v>
      </c>
      <c r="G109" s="2" t="s">
        <v>3170</v>
      </c>
      <c r="H109" s="2">
        <v>4504443146.4399996</v>
      </c>
      <c r="I109" s="2">
        <v>14650</v>
      </c>
      <c r="J109" s="2">
        <v>14.785132920000001</v>
      </c>
      <c r="K109" s="2" t="s">
        <v>3171</v>
      </c>
      <c r="L109" s="2">
        <v>6971393.0423600003</v>
      </c>
      <c r="M109" s="2">
        <v>45308</v>
      </c>
      <c r="N109" s="2" t="s">
        <v>3172</v>
      </c>
      <c r="O109" s="2">
        <v>1.92E-4</v>
      </c>
      <c r="P109" s="2">
        <v>12715524</v>
      </c>
      <c r="Q109" s="2">
        <v>586</v>
      </c>
    </row>
    <row r="110" spans="1:17" x14ac:dyDescent="0.25">
      <c r="A110" s="1">
        <v>43500</v>
      </c>
      <c r="B110" s="2" t="s">
        <v>3173</v>
      </c>
      <c r="C110" s="2" t="s">
        <v>3174</v>
      </c>
      <c r="D110" s="2">
        <v>22157</v>
      </c>
      <c r="E110" s="2" t="s">
        <v>3175</v>
      </c>
      <c r="F110" s="2" t="s">
        <v>3176</v>
      </c>
      <c r="G110" s="2" t="s">
        <v>3177</v>
      </c>
      <c r="H110" s="2">
        <v>4505087307.6700001</v>
      </c>
      <c r="I110" s="2">
        <v>14250</v>
      </c>
      <c r="J110" s="2">
        <v>15.142438009999999</v>
      </c>
      <c r="K110" s="2" t="s">
        <v>3178</v>
      </c>
      <c r="L110" s="2">
        <v>6967338.9048600001</v>
      </c>
      <c r="M110" s="2">
        <v>45967</v>
      </c>
      <c r="N110" s="2" t="s">
        <v>3179</v>
      </c>
      <c r="O110" s="2">
        <v>1.7137000000000001E-4</v>
      </c>
      <c r="P110" s="2">
        <v>13431607</v>
      </c>
      <c r="Q110" s="2">
        <v>570</v>
      </c>
    </row>
    <row r="111" spans="1:17" x14ac:dyDescent="0.25">
      <c r="A111" s="1">
        <v>43499</v>
      </c>
      <c r="B111" s="2" t="s">
        <v>3180</v>
      </c>
      <c r="C111" s="2" t="s">
        <v>3181</v>
      </c>
      <c r="D111" s="2">
        <v>21527</v>
      </c>
      <c r="E111" s="2" t="s">
        <v>3182</v>
      </c>
      <c r="F111" s="2" t="s">
        <v>3183</v>
      </c>
      <c r="G111" s="2" t="s">
        <v>3184</v>
      </c>
      <c r="H111" s="2">
        <v>4506833986.5200005</v>
      </c>
      <c r="I111" s="2">
        <v>15575</v>
      </c>
      <c r="J111" s="2">
        <v>14.060333809999999</v>
      </c>
      <c r="K111" s="2" t="s">
        <v>3185</v>
      </c>
      <c r="L111" s="2">
        <v>6967338.9048600001</v>
      </c>
      <c r="M111" s="2">
        <v>49198</v>
      </c>
      <c r="N111" s="2" t="s">
        <v>3186</v>
      </c>
      <c r="O111" s="2">
        <v>1.7415E-4</v>
      </c>
      <c r="P111" s="2">
        <v>12634948</v>
      </c>
      <c r="Q111" s="2">
        <v>623</v>
      </c>
    </row>
    <row r="112" spans="1:17" x14ac:dyDescent="0.25">
      <c r="A112" s="1">
        <v>43498</v>
      </c>
      <c r="B112" s="2" t="s">
        <v>3187</v>
      </c>
      <c r="C112" s="2" t="s">
        <v>3188</v>
      </c>
      <c r="D112" s="2">
        <v>22814</v>
      </c>
      <c r="E112" s="2" t="s">
        <v>3189</v>
      </c>
      <c r="F112" s="2" t="s">
        <v>3190</v>
      </c>
      <c r="G112" s="2" t="s">
        <v>3191</v>
      </c>
      <c r="H112" s="2">
        <v>4508644751.3599997</v>
      </c>
      <c r="I112" s="2">
        <v>14775</v>
      </c>
      <c r="J112" s="2">
        <v>13.80674284</v>
      </c>
      <c r="K112" s="2" t="s">
        <v>3192</v>
      </c>
      <c r="L112" s="2">
        <v>6971825.2557499995</v>
      </c>
      <c r="M112" s="2">
        <v>44535</v>
      </c>
      <c r="N112" s="2" t="s">
        <v>3193</v>
      </c>
      <c r="O112" s="2">
        <v>1.6799999999999999E-4</v>
      </c>
      <c r="P112" s="2">
        <v>13677385</v>
      </c>
      <c r="Q112" s="2">
        <v>591</v>
      </c>
    </row>
    <row r="113" spans="1:17" x14ac:dyDescent="0.25">
      <c r="A113" s="1">
        <v>43497</v>
      </c>
      <c r="B113" s="2" t="s">
        <v>3194</v>
      </c>
      <c r="C113" s="2" t="s">
        <v>3195</v>
      </c>
      <c r="D113" s="2">
        <v>24853</v>
      </c>
      <c r="E113" s="2" t="s">
        <v>3196</v>
      </c>
      <c r="F113" s="2" t="s">
        <v>3197</v>
      </c>
      <c r="G113" s="2" t="s">
        <v>3198</v>
      </c>
      <c r="H113" s="2">
        <v>4507888707.5299997</v>
      </c>
      <c r="I113" s="2">
        <v>14100</v>
      </c>
      <c r="J113" s="2">
        <v>16.217640830000001</v>
      </c>
      <c r="K113" s="2" t="s">
        <v>3199</v>
      </c>
      <c r="L113" s="2">
        <v>6975206.6596900001</v>
      </c>
      <c r="M113" s="2">
        <v>46301</v>
      </c>
      <c r="N113" s="2" t="s">
        <v>3200</v>
      </c>
      <c r="O113" s="2">
        <v>1.6799999999999999E-4</v>
      </c>
      <c r="P113" s="2">
        <v>14742311</v>
      </c>
      <c r="Q113" s="2">
        <v>564</v>
      </c>
    </row>
    <row r="114" spans="1:17" x14ac:dyDescent="0.25">
      <c r="A114" s="1">
        <v>43496</v>
      </c>
      <c r="B114" s="2" t="s">
        <v>3201</v>
      </c>
      <c r="C114" s="2" t="s">
        <v>3202</v>
      </c>
      <c r="D114" s="2">
        <v>22061</v>
      </c>
      <c r="E114" s="2" t="s">
        <v>3203</v>
      </c>
      <c r="F114" s="2" t="s">
        <v>3204</v>
      </c>
      <c r="G114" s="2" t="s">
        <v>3205</v>
      </c>
      <c r="H114" s="2">
        <v>4508869801.5299997</v>
      </c>
      <c r="I114" s="2">
        <v>13800</v>
      </c>
      <c r="J114" s="2">
        <v>13.237556420000001</v>
      </c>
      <c r="K114" s="2" t="s">
        <v>3206</v>
      </c>
      <c r="L114" s="2">
        <v>6975206.6596900001</v>
      </c>
      <c r="M114" s="2">
        <v>44945</v>
      </c>
      <c r="N114" s="2" t="s">
        <v>3207</v>
      </c>
      <c r="O114" s="2">
        <v>2.1854E-4</v>
      </c>
      <c r="P114" s="2">
        <v>12769277</v>
      </c>
      <c r="Q114" s="2">
        <v>552</v>
      </c>
    </row>
    <row r="115" spans="1:17" x14ac:dyDescent="0.25">
      <c r="A115" s="1">
        <v>43495</v>
      </c>
      <c r="B115" s="2" t="s">
        <v>3208</v>
      </c>
      <c r="C115" s="2" t="s">
        <v>3209</v>
      </c>
      <c r="D115" s="2">
        <v>22290</v>
      </c>
      <c r="E115" s="2" t="s">
        <v>3210</v>
      </c>
      <c r="F115" s="2" t="s">
        <v>3211</v>
      </c>
      <c r="G115" s="2" t="s">
        <v>3212</v>
      </c>
      <c r="H115" s="2">
        <v>4509278313.8800001</v>
      </c>
      <c r="I115" s="2">
        <v>14800</v>
      </c>
      <c r="J115" s="2">
        <v>14.28207534</v>
      </c>
      <c r="K115" s="2" t="s">
        <v>3213</v>
      </c>
      <c r="L115" s="2">
        <v>6959855.3728999998</v>
      </c>
      <c r="M115" s="2">
        <v>45294</v>
      </c>
      <c r="N115" s="2" t="s">
        <v>3214</v>
      </c>
      <c r="O115" s="2">
        <v>2.24E-4</v>
      </c>
      <c r="P115" s="2">
        <v>12340769</v>
      </c>
      <c r="Q115" s="2">
        <v>592</v>
      </c>
    </row>
    <row r="116" spans="1:17" x14ac:dyDescent="0.25">
      <c r="A116" s="1">
        <v>43494</v>
      </c>
      <c r="B116" s="2" t="s">
        <v>3215</v>
      </c>
      <c r="C116" s="2" t="s">
        <v>3216</v>
      </c>
      <c r="D116" s="2">
        <v>22087</v>
      </c>
      <c r="E116" s="2" t="s">
        <v>3217</v>
      </c>
      <c r="F116" s="2" t="s">
        <v>3218</v>
      </c>
      <c r="G116" s="2" t="s">
        <v>3219</v>
      </c>
      <c r="H116" s="2">
        <v>4510998983.7700005</v>
      </c>
      <c r="I116" s="2">
        <v>15025</v>
      </c>
      <c r="J116" s="2">
        <v>15.80516149</v>
      </c>
      <c r="K116" s="2" t="s">
        <v>3220</v>
      </c>
      <c r="L116" s="2">
        <v>6661828.6672599996</v>
      </c>
      <c r="M116" s="2">
        <v>45654</v>
      </c>
      <c r="N116" s="2" t="s">
        <v>3221</v>
      </c>
      <c r="O116" s="2">
        <v>2.24E-4</v>
      </c>
      <c r="P116" s="2">
        <v>12733545</v>
      </c>
      <c r="Q116" s="2">
        <v>601</v>
      </c>
    </row>
    <row r="117" spans="1:17" x14ac:dyDescent="0.25">
      <c r="A117" s="1">
        <v>43493</v>
      </c>
      <c r="B117" s="2" t="s">
        <v>3222</v>
      </c>
      <c r="C117" s="2" t="s">
        <v>3223</v>
      </c>
      <c r="D117" s="2">
        <v>22394</v>
      </c>
      <c r="E117" s="2" t="s">
        <v>3224</v>
      </c>
      <c r="F117" s="2" t="s">
        <v>3225</v>
      </c>
      <c r="G117" s="2" t="s">
        <v>3226</v>
      </c>
      <c r="H117" s="2">
        <v>4513547396.3599997</v>
      </c>
      <c r="I117" s="2">
        <v>14300</v>
      </c>
      <c r="J117" s="2">
        <v>15.97399785</v>
      </c>
      <c r="K117" s="2" t="s">
        <v>3227</v>
      </c>
      <c r="L117" s="2">
        <v>6661828.6672599996</v>
      </c>
      <c r="M117" s="2">
        <v>46174</v>
      </c>
      <c r="N117" s="2" t="s">
        <v>3228</v>
      </c>
      <c r="O117" s="2">
        <v>2.24E-4</v>
      </c>
      <c r="P117" s="2">
        <v>13790581</v>
      </c>
      <c r="Q117" s="2">
        <v>572</v>
      </c>
    </row>
    <row r="118" spans="1:17" x14ac:dyDescent="0.25">
      <c r="A118" s="1">
        <v>43492</v>
      </c>
      <c r="B118" s="2" t="s">
        <v>3229</v>
      </c>
      <c r="C118" s="2" t="s">
        <v>3230</v>
      </c>
      <c r="D118" s="2">
        <v>20614</v>
      </c>
      <c r="E118" s="2" t="s">
        <v>3231</v>
      </c>
      <c r="F118" s="2" t="s">
        <v>3232</v>
      </c>
      <c r="G118" s="2" t="s">
        <v>3233</v>
      </c>
      <c r="H118" s="2">
        <v>4517538989.3000002</v>
      </c>
      <c r="I118" s="2">
        <v>16125</v>
      </c>
      <c r="J118" s="2">
        <v>12.41471759</v>
      </c>
      <c r="K118" s="2" t="s">
        <v>3234</v>
      </c>
      <c r="L118" s="2">
        <v>6661828.6672599996</v>
      </c>
      <c r="M118" s="2">
        <v>43594</v>
      </c>
      <c r="N118" s="2" t="s">
        <v>3235</v>
      </c>
      <c r="O118" s="2">
        <v>1.7090000000000001E-4</v>
      </c>
      <c r="P118" s="2">
        <v>11794891</v>
      </c>
      <c r="Q118" s="2">
        <v>645</v>
      </c>
    </row>
    <row r="119" spans="1:17" x14ac:dyDescent="0.25">
      <c r="A119" s="1">
        <v>43491</v>
      </c>
      <c r="B119" s="2" t="s">
        <v>3236</v>
      </c>
      <c r="C119" s="2" t="s">
        <v>3237</v>
      </c>
      <c r="D119" s="2">
        <v>22337</v>
      </c>
      <c r="E119" s="2" t="s">
        <v>3238</v>
      </c>
      <c r="F119" s="2" t="s">
        <v>3239</v>
      </c>
      <c r="G119" s="2" t="s">
        <v>3240</v>
      </c>
      <c r="H119" s="2">
        <v>4518185912.0299997</v>
      </c>
      <c r="I119" s="2">
        <v>15225</v>
      </c>
      <c r="J119" s="2">
        <v>15.17644604</v>
      </c>
      <c r="K119" s="2" t="s">
        <v>3241</v>
      </c>
      <c r="L119" s="2">
        <v>6472418.19802</v>
      </c>
      <c r="M119" s="2">
        <v>46201</v>
      </c>
      <c r="N119" s="2" t="s">
        <v>3242</v>
      </c>
      <c r="O119" s="2">
        <v>1.8799999999999999E-4</v>
      </c>
      <c r="P119" s="2">
        <v>13683130</v>
      </c>
      <c r="Q119" s="2">
        <v>609</v>
      </c>
    </row>
    <row r="120" spans="1:17" x14ac:dyDescent="0.25">
      <c r="A120" s="1">
        <v>43490</v>
      </c>
      <c r="B120" s="2" t="s">
        <v>3243</v>
      </c>
      <c r="C120" s="2" t="s">
        <v>3244</v>
      </c>
      <c r="D120" s="2">
        <v>23775</v>
      </c>
      <c r="E120" s="2" t="s">
        <v>3245</v>
      </c>
      <c r="F120" s="2" t="s">
        <v>3190</v>
      </c>
      <c r="G120" s="2" t="s">
        <v>3246</v>
      </c>
      <c r="H120" s="2">
        <v>4519162096.7600002</v>
      </c>
      <c r="I120" s="2">
        <v>15100</v>
      </c>
      <c r="J120" s="2">
        <v>17.154042069999999</v>
      </c>
      <c r="K120" s="2" t="s">
        <v>3247</v>
      </c>
      <c r="L120" s="2">
        <v>6399667.3586900001</v>
      </c>
      <c r="M120" s="2">
        <v>46226</v>
      </c>
      <c r="N120" s="2" t="s">
        <v>3248</v>
      </c>
      <c r="O120" s="2">
        <v>1.6799999999999999E-4</v>
      </c>
      <c r="P120" s="2">
        <v>15613326</v>
      </c>
      <c r="Q120" s="2">
        <v>604</v>
      </c>
    </row>
    <row r="121" spans="1:17" x14ac:dyDescent="0.25">
      <c r="A121" s="1">
        <v>43489</v>
      </c>
      <c r="B121" s="2" t="s">
        <v>3249</v>
      </c>
      <c r="C121" s="2" t="s">
        <v>3250</v>
      </c>
      <c r="D121" s="2">
        <v>20641</v>
      </c>
      <c r="E121" s="2" t="s">
        <v>3251</v>
      </c>
      <c r="F121" s="2" t="s">
        <v>3252</v>
      </c>
      <c r="G121" s="2" t="s">
        <v>3253</v>
      </c>
      <c r="H121" s="2">
        <v>4521217412.6300001</v>
      </c>
      <c r="I121" s="2">
        <v>14275</v>
      </c>
      <c r="J121" s="2">
        <v>14.50536537</v>
      </c>
      <c r="K121" s="2" t="s">
        <v>3254</v>
      </c>
      <c r="L121" s="2">
        <v>6399667.3586900001</v>
      </c>
      <c r="M121" s="2">
        <v>48687</v>
      </c>
      <c r="N121" s="2" t="s">
        <v>3255</v>
      </c>
      <c r="O121" s="2">
        <v>1.6799999999999999E-4</v>
      </c>
      <c r="P121" s="2">
        <v>11932156</v>
      </c>
      <c r="Q121" s="2">
        <v>571</v>
      </c>
    </row>
    <row r="122" spans="1:17" x14ac:dyDescent="0.25">
      <c r="A122" s="1">
        <v>43488</v>
      </c>
      <c r="B122" s="2" t="s">
        <v>3256</v>
      </c>
      <c r="C122" s="2" t="s">
        <v>3257</v>
      </c>
      <c r="D122" s="2">
        <v>19718</v>
      </c>
      <c r="E122" s="2" t="s">
        <v>3258</v>
      </c>
      <c r="F122" s="2" t="s">
        <v>3259</v>
      </c>
      <c r="G122" s="2" t="s">
        <v>3260</v>
      </c>
      <c r="H122" s="2">
        <v>4521011707.9099998</v>
      </c>
      <c r="I122" s="2">
        <v>14925</v>
      </c>
      <c r="J122" s="2">
        <v>12.95740331</v>
      </c>
      <c r="K122" s="2" t="s">
        <v>3261</v>
      </c>
      <c r="L122" s="2">
        <v>6413776.3043999998</v>
      </c>
      <c r="M122" s="2">
        <v>38436</v>
      </c>
      <c r="N122" s="2" t="s">
        <v>3262</v>
      </c>
      <c r="O122" s="2">
        <v>1.7535000000000001E-4</v>
      </c>
      <c r="P122" s="2">
        <v>11679617</v>
      </c>
      <c r="Q122" s="2">
        <v>597</v>
      </c>
    </row>
    <row r="123" spans="1:17" x14ac:dyDescent="0.25">
      <c r="A123" s="1">
        <v>43487</v>
      </c>
      <c r="B123" s="2" t="s">
        <v>3263</v>
      </c>
      <c r="C123" s="2" t="s">
        <v>3264</v>
      </c>
      <c r="D123" s="2">
        <v>20999</v>
      </c>
      <c r="E123" s="2" t="s">
        <v>3265</v>
      </c>
      <c r="F123" s="2" t="s">
        <v>3266</v>
      </c>
      <c r="G123" s="2" t="s">
        <v>3267</v>
      </c>
      <c r="H123" s="2">
        <v>4521616222.6599998</v>
      </c>
      <c r="I123" s="2">
        <v>14700</v>
      </c>
      <c r="J123" s="2">
        <v>14.56365278</v>
      </c>
      <c r="K123" s="2" t="s">
        <v>3268</v>
      </c>
      <c r="L123" s="2">
        <v>6442642.0555600002</v>
      </c>
      <c r="M123" s="2">
        <v>43951</v>
      </c>
      <c r="N123" s="2" t="s">
        <v>3269</v>
      </c>
      <c r="O123" s="2">
        <v>2.24E-4</v>
      </c>
      <c r="P123" s="2">
        <v>12337040</v>
      </c>
      <c r="Q123" s="2">
        <v>588</v>
      </c>
    </row>
    <row r="124" spans="1:17" x14ac:dyDescent="0.25">
      <c r="A124" s="1">
        <v>43486</v>
      </c>
      <c r="B124" s="2" t="s">
        <v>3270</v>
      </c>
      <c r="C124" s="2" t="s">
        <v>3271</v>
      </c>
      <c r="D124" s="2">
        <v>22322</v>
      </c>
      <c r="E124" s="2" t="s">
        <v>3272</v>
      </c>
      <c r="F124" s="2" t="s">
        <v>3273</v>
      </c>
      <c r="G124" s="2" t="s">
        <v>3274</v>
      </c>
      <c r="H124" s="2">
        <v>4522163061.5500002</v>
      </c>
      <c r="I124" s="2">
        <v>13775</v>
      </c>
      <c r="J124" s="2">
        <v>15.337749430000001</v>
      </c>
      <c r="K124" s="2" t="s">
        <v>3275</v>
      </c>
      <c r="L124" s="2">
        <v>6442642.0555600002</v>
      </c>
      <c r="M124" s="2">
        <v>45457</v>
      </c>
      <c r="N124" s="2" t="s">
        <v>3276</v>
      </c>
      <c r="O124" s="2">
        <v>2.24E-4</v>
      </c>
      <c r="P124" s="2">
        <v>13867780</v>
      </c>
      <c r="Q124" s="2">
        <v>551</v>
      </c>
    </row>
    <row r="125" spans="1:17" x14ac:dyDescent="0.25">
      <c r="A125" s="1">
        <v>43485</v>
      </c>
      <c r="B125" s="2" t="s">
        <v>3277</v>
      </c>
      <c r="C125" s="2" t="s">
        <v>3278</v>
      </c>
      <c r="D125" s="2">
        <v>21108</v>
      </c>
      <c r="E125" s="2" t="s">
        <v>3279</v>
      </c>
      <c r="F125" s="2" t="s">
        <v>3280</v>
      </c>
      <c r="G125" s="2" t="s">
        <v>3281</v>
      </c>
      <c r="H125" s="2">
        <v>4522642393.2200003</v>
      </c>
      <c r="I125" s="2">
        <v>14100</v>
      </c>
      <c r="J125" s="2">
        <v>13.162733100000001</v>
      </c>
      <c r="K125" s="2" t="s">
        <v>3282</v>
      </c>
      <c r="L125" s="2">
        <v>6442642.0555600002</v>
      </c>
      <c r="M125" s="2">
        <v>44773</v>
      </c>
      <c r="N125" s="2" t="s">
        <v>3283</v>
      </c>
      <c r="O125" s="2">
        <v>2.0159999999999999E-4</v>
      </c>
      <c r="P125" s="2">
        <v>12087198</v>
      </c>
      <c r="Q125" s="2">
        <v>564</v>
      </c>
    </row>
    <row r="126" spans="1:17" x14ac:dyDescent="0.25">
      <c r="A126" s="1">
        <v>43484</v>
      </c>
      <c r="B126" s="2" t="s">
        <v>3284</v>
      </c>
      <c r="C126" s="2" t="s">
        <v>3285</v>
      </c>
      <c r="D126" s="2">
        <v>24162</v>
      </c>
      <c r="E126" s="2" t="s">
        <v>3286</v>
      </c>
      <c r="F126" s="2" t="s">
        <v>3287</v>
      </c>
      <c r="G126" s="2" t="s">
        <v>3288</v>
      </c>
      <c r="H126" s="2">
        <v>4527440324.2600002</v>
      </c>
      <c r="I126" s="2">
        <v>14500</v>
      </c>
      <c r="J126" s="2">
        <v>14.72594887</v>
      </c>
      <c r="K126" s="2" t="s">
        <v>3289</v>
      </c>
      <c r="L126" s="2">
        <v>6280852.2900200002</v>
      </c>
      <c r="M126" s="2">
        <v>47193</v>
      </c>
      <c r="N126" s="2" t="s">
        <v>3290</v>
      </c>
      <c r="O126" s="2">
        <v>2.24E-4</v>
      </c>
      <c r="P126" s="2">
        <v>13475042</v>
      </c>
      <c r="Q126" s="2">
        <v>580</v>
      </c>
    </row>
    <row r="127" spans="1:17" x14ac:dyDescent="0.25">
      <c r="A127" s="1">
        <v>43483</v>
      </c>
      <c r="B127" s="2" t="s">
        <v>3291</v>
      </c>
      <c r="C127" s="2" t="s">
        <v>3292</v>
      </c>
      <c r="D127" s="2">
        <v>25533</v>
      </c>
      <c r="E127" s="2" t="s">
        <v>3293</v>
      </c>
      <c r="F127" s="2" t="s">
        <v>3294</v>
      </c>
      <c r="G127" s="2" t="s">
        <v>3295</v>
      </c>
      <c r="H127" s="2">
        <v>4527000635.6800003</v>
      </c>
      <c r="I127" s="2">
        <v>15075</v>
      </c>
      <c r="J127" s="2">
        <v>15.12439168</v>
      </c>
      <c r="K127" s="2" t="s">
        <v>3296</v>
      </c>
      <c r="L127" s="2">
        <v>6239968.0512100002</v>
      </c>
      <c r="M127" s="2">
        <v>47779</v>
      </c>
      <c r="N127" s="2" t="s">
        <v>3297</v>
      </c>
      <c r="O127" s="2">
        <v>2.24E-4</v>
      </c>
      <c r="P127" s="2">
        <v>13803923</v>
      </c>
      <c r="Q127" s="2">
        <v>603</v>
      </c>
    </row>
    <row r="128" spans="1:17" x14ac:dyDescent="0.25">
      <c r="A128" s="1">
        <v>43482</v>
      </c>
      <c r="B128" s="2" t="s">
        <v>3298</v>
      </c>
      <c r="C128" s="2" t="s">
        <v>3299</v>
      </c>
      <c r="D128" s="2">
        <v>23338</v>
      </c>
      <c r="E128" s="2" t="s">
        <v>3300</v>
      </c>
      <c r="F128" s="2" t="s">
        <v>3301</v>
      </c>
      <c r="G128" s="2" t="s">
        <v>3302</v>
      </c>
      <c r="H128" s="2">
        <v>4532493632.3199997</v>
      </c>
      <c r="I128" s="2">
        <v>15000</v>
      </c>
      <c r="J128" s="2">
        <v>14.698432970000001</v>
      </c>
      <c r="K128" s="2" t="s">
        <v>3303</v>
      </c>
      <c r="L128" s="2">
        <v>6239968.0512100002</v>
      </c>
      <c r="M128" s="2">
        <v>46049</v>
      </c>
      <c r="N128" s="2" t="s">
        <v>3304</v>
      </c>
      <c r="O128" s="2">
        <v>2.24E-4</v>
      </c>
      <c r="P128" s="2">
        <v>12330813</v>
      </c>
      <c r="Q128" s="2">
        <v>600</v>
      </c>
    </row>
    <row r="129" spans="1:17" x14ac:dyDescent="0.25">
      <c r="A129" s="1">
        <v>43481</v>
      </c>
      <c r="B129" s="2" t="s">
        <v>3305</v>
      </c>
      <c r="C129" s="2" t="s">
        <v>3306</v>
      </c>
      <c r="D129" s="2">
        <v>22655</v>
      </c>
      <c r="E129" s="2" t="s">
        <v>3307</v>
      </c>
      <c r="F129" s="2" t="s">
        <v>3308</v>
      </c>
      <c r="G129" s="2" t="s">
        <v>3309</v>
      </c>
      <c r="H129" s="2">
        <v>4533362265.9399996</v>
      </c>
      <c r="I129" s="2">
        <v>14600</v>
      </c>
      <c r="J129" s="2">
        <v>13.90759034</v>
      </c>
      <c r="K129" s="2" t="s">
        <v>3310</v>
      </c>
      <c r="L129" s="2">
        <v>6340807.5341299996</v>
      </c>
      <c r="M129" s="2">
        <v>46055</v>
      </c>
      <c r="N129" s="2" t="s">
        <v>3311</v>
      </c>
      <c r="O129" s="2">
        <v>2.24E-4</v>
      </c>
      <c r="P129" s="2">
        <v>12611640</v>
      </c>
      <c r="Q129" s="2">
        <v>584</v>
      </c>
    </row>
    <row r="130" spans="1:17" x14ac:dyDescent="0.25">
      <c r="A130" s="1">
        <v>43480</v>
      </c>
      <c r="B130" s="2" t="s">
        <v>3312</v>
      </c>
      <c r="C130" s="2" t="s">
        <v>3313</v>
      </c>
      <c r="D130" s="2">
        <v>23446</v>
      </c>
      <c r="E130" s="2" t="s">
        <v>3314</v>
      </c>
      <c r="F130" s="2" t="s">
        <v>3315</v>
      </c>
      <c r="G130" s="2" t="s">
        <v>3316</v>
      </c>
      <c r="H130" s="2">
        <v>4542787316.2200003</v>
      </c>
      <c r="I130" s="2">
        <v>13075</v>
      </c>
      <c r="J130" s="2">
        <v>15.04077423</v>
      </c>
      <c r="K130" s="2" t="s">
        <v>3317</v>
      </c>
      <c r="L130" s="2">
        <v>6491635.8205399998</v>
      </c>
      <c r="M130" s="2">
        <v>46424</v>
      </c>
      <c r="N130" s="2" t="s">
        <v>3318</v>
      </c>
      <c r="O130" s="2">
        <v>2.24E-4</v>
      </c>
      <c r="P130" s="2">
        <v>13172927</v>
      </c>
      <c r="Q130" s="2">
        <v>523</v>
      </c>
    </row>
    <row r="131" spans="1:17" x14ac:dyDescent="0.25">
      <c r="A131" s="1">
        <v>43479</v>
      </c>
      <c r="B131" s="2" t="s">
        <v>3319</v>
      </c>
      <c r="C131" s="2" t="s">
        <v>3320</v>
      </c>
      <c r="D131" s="2">
        <v>21552</v>
      </c>
      <c r="E131" s="2" t="s">
        <v>3321</v>
      </c>
      <c r="F131" s="2" t="s">
        <v>3322</v>
      </c>
      <c r="G131" s="2" t="s">
        <v>3323</v>
      </c>
      <c r="H131" s="2">
        <v>4545664657.7299995</v>
      </c>
      <c r="I131" s="2">
        <v>13775</v>
      </c>
      <c r="J131" s="2">
        <v>14.69499628</v>
      </c>
      <c r="K131" s="2" t="s">
        <v>3324</v>
      </c>
      <c r="L131" s="2">
        <v>6491635.8205399998</v>
      </c>
      <c r="M131" s="2">
        <v>45870</v>
      </c>
      <c r="N131" s="2" t="s">
        <v>3325</v>
      </c>
      <c r="O131" s="2">
        <v>2.24E-4</v>
      </c>
      <c r="P131" s="2">
        <v>12320187</v>
      </c>
      <c r="Q131" s="2">
        <v>551</v>
      </c>
    </row>
    <row r="132" spans="1:17" x14ac:dyDescent="0.25">
      <c r="A132" s="1">
        <v>43478</v>
      </c>
      <c r="B132" s="2" t="s">
        <v>3326</v>
      </c>
      <c r="C132" s="2" t="s">
        <v>3327</v>
      </c>
      <c r="D132" s="2">
        <v>21273</v>
      </c>
      <c r="E132" s="2" t="s">
        <v>3328</v>
      </c>
      <c r="F132" s="2" t="s">
        <v>3329</v>
      </c>
      <c r="G132" s="2" t="s">
        <v>3330</v>
      </c>
      <c r="H132" s="2">
        <v>4546863314.6800003</v>
      </c>
      <c r="I132" s="2">
        <v>14275</v>
      </c>
      <c r="J132" s="2">
        <v>13.917767400000001</v>
      </c>
      <c r="K132" s="2" t="s">
        <v>3331</v>
      </c>
      <c r="L132" s="2">
        <v>6491635.8205399998</v>
      </c>
      <c r="M132" s="2">
        <v>46308</v>
      </c>
      <c r="N132" s="2" t="s">
        <v>3332</v>
      </c>
      <c r="O132" s="2">
        <v>2.24E-4</v>
      </c>
      <c r="P132" s="2">
        <v>11852745</v>
      </c>
      <c r="Q132" s="2">
        <v>571</v>
      </c>
    </row>
    <row r="133" spans="1:17" x14ac:dyDescent="0.25">
      <c r="A133" s="1">
        <v>43477</v>
      </c>
      <c r="B133" s="2" t="s">
        <v>3333</v>
      </c>
      <c r="C133" s="2" t="s">
        <v>3334</v>
      </c>
      <c r="D133" s="2">
        <v>23895</v>
      </c>
      <c r="E133" s="2" t="s">
        <v>3335</v>
      </c>
      <c r="F133" s="2" t="s">
        <v>3336</v>
      </c>
      <c r="G133" s="2" t="s">
        <v>3337</v>
      </c>
      <c r="H133" s="2">
        <v>4550194322.6599998</v>
      </c>
      <c r="I133" s="2">
        <v>15750</v>
      </c>
      <c r="J133" s="2">
        <v>14.646416009999999</v>
      </c>
      <c r="K133" s="2" t="s">
        <v>3338</v>
      </c>
      <c r="L133" s="2">
        <v>6189991.6155399997</v>
      </c>
      <c r="M133" s="2">
        <v>45557</v>
      </c>
      <c r="N133" s="2" t="s">
        <v>3339</v>
      </c>
      <c r="O133" s="2">
        <v>2.24E-4</v>
      </c>
      <c r="P133" s="2">
        <v>12900595</v>
      </c>
      <c r="Q133" s="2">
        <v>630</v>
      </c>
    </row>
    <row r="134" spans="1:17" x14ac:dyDescent="0.25">
      <c r="A134" s="1">
        <v>43476</v>
      </c>
      <c r="B134" s="2" t="s">
        <v>3340</v>
      </c>
      <c r="C134" s="2" t="s">
        <v>3341</v>
      </c>
      <c r="D134" s="2">
        <v>24297</v>
      </c>
      <c r="E134" s="2" t="s">
        <v>3342</v>
      </c>
      <c r="F134" s="2" t="s">
        <v>3343</v>
      </c>
      <c r="G134" s="2" t="s">
        <v>3344</v>
      </c>
      <c r="H134" s="2">
        <v>4551055005.1700001</v>
      </c>
      <c r="I134" s="2">
        <v>15975</v>
      </c>
      <c r="J134" s="2">
        <v>14.201924099999999</v>
      </c>
      <c r="K134" s="2" t="s">
        <v>3345</v>
      </c>
      <c r="L134" s="2">
        <v>6106167.5666899998</v>
      </c>
      <c r="M134" s="2">
        <v>49143</v>
      </c>
      <c r="N134" s="2" t="s">
        <v>3346</v>
      </c>
      <c r="O134" s="2">
        <v>2.24E-4</v>
      </c>
      <c r="P134" s="2">
        <v>12917089</v>
      </c>
      <c r="Q134" s="2">
        <v>639</v>
      </c>
    </row>
    <row r="135" spans="1:17" x14ac:dyDescent="0.25">
      <c r="A135" s="1">
        <v>43475</v>
      </c>
      <c r="B135" s="2" t="s">
        <v>3347</v>
      </c>
      <c r="C135" s="2" t="s">
        <v>3348</v>
      </c>
      <c r="D135" s="2">
        <v>24429</v>
      </c>
      <c r="E135" s="2" t="s">
        <v>3349</v>
      </c>
      <c r="F135" s="2" t="s">
        <v>3350</v>
      </c>
      <c r="G135" s="2" t="s">
        <v>3351</v>
      </c>
      <c r="H135" s="2">
        <v>4659389370.9700003</v>
      </c>
      <c r="I135" s="2">
        <v>14875</v>
      </c>
      <c r="J135" s="2">
        <v>16.924562900000002</v>
      </c>
      <c r="K135" s="2" t="s">
        <v>3352</v>
      </c>
      <c r="L135" s="2">
        <v>6106167.5666899998</v>
      </c>
      <c r="M135" s="2">
        <v>49642</v>
      </c>
      <c r="N135" s="2" t="s">
        <v>3353</v>
      </c>
      <c r="O135" s="2">
        <v>2.22E-4</v>
      </c>
      <c r="P135" s="2">
        <v>13700494</v>
      </c>
      <c r="Q135" s="2">
        <v>595</v>
      </c>
    </row>
    <row r="136" spans="1:17" x14ac:dyDescent="0.25">
      <c r="A136" s="1">
        <v>43474</v>
      </c>
      <c r="B136" s="2" t="s">
        <v>3354</v>
      </c>
      <c r="C136" s="2" t="s">
        <v>3355</v>
      </c>
      <c r="D136" s="2">
        <v>23704</v>
      </c>
      <c r="E136" s="2" t="s">
        <v>3356</v>
      </c>
      <c r="F136" s="2" t="s">
        <v>3357</v>
      </c>
      <c r="G136" s="2" t="s">
        <v>3358</v>
      </c>
      <c r="H136" s="2">
        <v>4663680911.8699999</v>
      </c>
      <c r="I136" s="2">
        <v>14175</v>
      </c>
      <c r="J136" s="2">
        <v>15.200999980000001</v>
      </c>
      <c r="K136" s="2" t="s">
        <v>3359</v>
      </c>
      <c r="L136" s="2">
        <v>6129171.4281500001</v>
      </c>
      <c r="M136" s="2">
        <v>48004</v>
      </c>
      <c r="N136" s="2" t="s">
        <v>3360</v>
      </c>
      <c r="O136" s="2">
        <v>2.24E-4</v>
      </c>
      <c r="P136" s="2">
        <v>13111723</v>
      </c>
      <c r="Q136" s="2">
        <v>567</v>
      </c>
    </row>
    <row r="137" spans="1:17" x14ac:dyDescent="0.25">
      <c r="A137" s="1">
        <v>43473</v>
      </c>
      <c r="B137" s="2" t="s">
        <v>3361</v>
      </c>
      <c r="C137" s="2" t="s">
        <v>3362</v>
      </c>
      <c r="D137" s="2">
        <v>23257</v>
      </c>
      <c r="E137" s="2" t="s">
        <v>3363</v>
      </c>
      <c r="F137" s="2" t="s">
        <v>3364</v>
      </c>
      <c r="G137" s="2" t="s">
        <v>3365</v>
      </c>
      <c r="H137" s="2">
        <v>4663290307.4399996</v>
      </c>
      <c r="I137" s="2">
        <v>14875</v>
      </c>
      <c r="J137" s="2">
        <v>16.738557539999999</v>
      </c>
      <c r="K137" s="2" t="s">
        <v>3366</v>
      </c>
      <c r="L137" s="2">
        <v>6153085.5143499998</v>
      </c>
      <c r="M137" s="2">
        <v>48756</v>
      </c>
      <c r="N137" s="2" t="s">
        <v>3367</v>
      </c>
      <c r="O137" s="2">
        <v>2.24E-4</v>
      </c>
      <c r="P137" s="2">
        <v>14231220</v>
      </c>
      <c r="Q137" s="2">
        <v>595</v>
      </c>
    </row>
    <row r="138" spans="1:17" x14ac:dyDescent="0.25">
      <c r="A138" s="1">
        <v>43472</v>
      </c>
      <c r="B138" s="2" t="s">
        <v>3368</v>
      </c>
      <c r="C138" s="2" t="s">
        <v>3369</v>
      </c>
      <c r="D138" s="2">
        <v>22512</v>
      </c>
      <c r="E138" s="2" t="s">
        <v>3370</v>
      </c>
      <c r="F138" s="2" t="s">
        <v>3371</v>
      </c>
      <c r="G138" s="2" t="s">
        <v>3372</v>
      </c>
      <c r="H138" s="2">
        <v>4661020652.7799997</v>
      </c>
      <c r="I138" s="2">
        <v>13525</v>
      </c>
      <c r="J138" s="2">
        <v>16.067290450000002</v>
      </c>
      <c r="K138" s="2" t="s">
        <v>3373</v>
      </c>
      <c r="L138" s="2">
        <v>6153085.5143499998</v>
      </c>
      <c r="M138" s="2">
        <v>47008</v>
      </c>
      <c r="N138" s="2" t="s">
        <v>3374</v>
      </c>
      <c r="O138" s="2">
        <v>2.24E-4</v>
      </c>
      <c r="P138" s="2">
        <v>13636941</v>
      </c>
      <c r="Q138" s="2">
        <v>541</v>
      </c>
    </row>
    <row r="139" spans="1:17" x14ac:dyDescent="0.25">
      <c r="A139" s="1">
        <v>43471</v>
      </c>
      <c r="B139" s="2" t="s">
        <v>3375</v>
      </c>
      <c r="C139" s="2" t="s">
        <v>3376</v>
      </c>
      <c r="D139" s="2">
        <v>24596</v>
      </c>
      <c r="E139" s="2" t="s">
        <v>3377</v>
      </c>
      <c r="F139" s="2" t="s">
        <v>3378</v>
      </c>
      <c r="G139" s="2" t="s">
        <v>3379</v>
      </c>
      <c r="H139" s="2">
        <v>4665082318.6400003</v>
      </c>
      <c r="I139" s="2">
        <v>14725</v>
      </c>
      <c r="J139" s="2">
        <v>18.310779149999998</v>
      </c>
      <c r="K139" s="2" t="s">
        <v>3380</v>
      </c>
      <c r="L139" s="2">
        <v>6153085.5143499998</v>
      </c>
      <c r="M139" s="2">
        <v>50194</v>
      </c>
      <c r="N139" s="2" t="s">
        <v>3381</v>
      </c>
      <c r="O139" s="2">
        <v>2.2599999999999999E-4</v>
      </c>
      <c r="P139" s="2">
        <v>15547771</v>
      </c>
      <c r="Q139" s="2">
        <v>589</v>
      </c>
    </row>
    <row r="140" spans="1:17" x14ac:dyDescent="0.25">
      <c r="A140" s="1">
        <v>43470</v>
      </c>
      <c r="B140" s="2" t="s">
        <v>3382</v>
      </c>
      <c r="C140" s="2" t="s">
        <v>3383</v>
      </c>
      <c r="D140" s="2">
        <v>24483</v>
      </c>
      <c r="E140" s="2" t="s">
        <v>3384</v>
      </c>
      <c r="F140" s="2" t="s">
        <v>3385</v>
      </c>
      <c r="G140" s="2" t="s">
        <v>3386</v>
      </c>
      <c r="H140" s="2">
        <v>4661562070.1499996</v>
      </c>
      <c r="I140" s="2">
        <v>14825</v>
      </c>
      <c r="J140" s="2">
        <v>15.97124266</v>
      </c>
      <c r="K140" s="2" t="s">
        <v>3387</v>
      </c>
      <c r="L140" s="2">
        <v>5984653.9699999997</v>
      </c>
      <c r="M140" s="2">
        <v>48308</v>
      </c>
      <c r="N140" s="2" t="s">
        <v>3388</v>
      </c>
      <c r="O140" s="2">
        <v>2.24E-4</v>
      </c>
      <c r="P140" s="2">
        <v>14650962</v>
      </c>
      <c r="Q140" s="2">
        <v>593</v>
      </c>
    </row>
    <row r="141" spans="1:17" x14ac:dyDescent="0.25">
      <c r="A141" s="1">
        <v>43469</v>
      </c>
      <c r="B141" s="2" t="s">
        <v>3389</v>
      </c>
      <c r="C141" s="2" t="s">
        <v>3390</v>
      </c>
      <c r="D141" s="2">
        <v>23729</v>
      </c>
      <c r="E141" s="2" t="s">
        <v>3391</v>
      </c>
      <c r="F141" s="2" t="s">
        <v>3392</v>
      </c>
      <c r="G141" s="2" t="s">
        <v>3393</v>
      </c>
      <c r="H141" s="2">
        <v>4663771614.29</v>
      </c>
      <c r="I141" s="2">
        <v>14850</v>
      </c>
      <c r="J141" s="2">
        <v>14.868462709999999</v>
      </c>
      <c r="K141" s="2" t="s">
        <v>3394</v>
      </c>
      <c r="L141" s="2">
        <v>5980878.7802100005</v>
      </c>
      <c r="M141" s="2">
        <v>46725</v>
      </c>
      <c r="N141" s="2" t="s">
        <v>3395</v>
      </c>
      <c r="O141" s="2">
        <v>2.24E-4</v>
      </c>
      <c r="P141" s="2">
        <v>14581301</v>
      </c>
      <c r="Q141" s="2">
        <v>594</v>
      </c>
    </row>
    <row r="142" spans="1:17" x14ac:dyDescent="0.25">
      <c r="A142" s="1">
        <v>43468</v>
      </c>
      <c r="B142" s="2" t="s">
        <v>3396</v>
      </c>
      <c r="C142" s="2" t="s">
        <v>3397</v>
      </c>
      <c r="D142" s="2">
        <v>23400</v>
      </c>
      <c r="E142" s="2" t="s">
        <v>3398</v>
      </c>
      <c r="F142" s="2" t="s">
        <v>3399</v>
      </c>
      <c r="G142" s="2" t="s">
        <v>3400</v>
      </c>
      <c r="H142" s="2">
        <v>4664119802.0699997</v>
      </c>
      <c r="I142" s="2">
        <v>14650</v>
      </c>
      <c r="J142" s="2">
        <v>15.25564711</v>
      </c>
      <c r="K142" s="2" t="s">
        <v>3401</v>
      </c>
      <c r="L142" s="2">
        <v>5980878.7802100005</v>
      </c>
      <c r="M142" s="2">
        <v>47198</v>
      </c>
      <c r="N142" s="2" t="s">
        <v>3402</v>
      </c>
      <c r="O142" s="2">
        <v>2.243E-4</v>
      </c>
      <c r="P142" s="2">
        <v>15305219</v>
      </c>
      <c r="Q142" s="2">
        <v>586</v>
      </c>
    </row>
    <row r="143" spans="1:17" x14ac:dyDescent="0.25">
      <c r="A143" s="1">
        <v>43467</v>
      </c>
      <c r="B143" s="2" t="s">
        <v>3403</v>
      </c>
      <c r="C143" s="2" t="s">
        <v>3404</v>
      </c>
      <c r="D143" s="2">
        <v>23310</v>
      </c>
      <c r="E143" s="2" t="s">
        <v>3405</v>
      </c>
      <c r="F143" s="2" t="s">
        <v>3392</v>
      </c>
      <c r="G143" s="2" t="s">
        <v>3406</v>
      </c>
      <c r="H143" s="2">
        <v>4666412570.3999996</v>
      </c>
      <c r="I143" s="2">
        <v>14800</v>
      </c>
      <c r="J143" s="2">
        <v>15.4559351</v>
      </c>
      <c r="K143" s="2" t="s">
        <v>2786</v>
      </c>
      <c r="L143" s="2">
        <v>5895852.0352600003</v>
      </c>
      <c r="M143" s="2">
        <v>47714</v>
      </c>
      <c r="N143" s="2" t="s">
        <v>3407</v>
      </c>
      <c r="O143" s="2">
        <v>2.24E-4</v>
      </c>
      <c r="P143" s="2">
        <v>15965646</v>
      </c>
      <c r="Q143" s="2">
        <v>592</v>
      </c>
    </row>
    <row r="144" spans="1:17" x14ac:dyDescent="0.25">
      <c r="A144" s="1">
        <v>43466</v>
      </c>
      <c r="B144" s="2" t="s">
        <v>3408</v>
      </c>
      <c r="C144" s="2" t="s">
        <v>3409</v>
      </c>
      <c r="D144" s="2">
        <v>17760</v>
      </c>
      <c r="E144" s="2" t="s">
        <v>3410</v>
      </c>
      <c r="F144" s="2" t="s">
        <v>3411</v>
      </c>
      <c r="G144" s="2" t="s">
        <v>3412</v>
      </c>
      <c r="H144" s="2">
        <v>4666996708.5200005</v>
      </c>
      <c r="I144" s="2">
        <v>14275</v>
      </c>
      <c r="J144" s="2">
        <v>11.453915950000001</v>
      </c>
      <c r="K144" s="2" t="s">
        <v>3413</v>
      </c>
      <c r="L144" s="2">
        <v>5831069.7533900002</v>
      </c>
      <c r="M144" s="2">
        <v>43137</v>
      </c>
      <c r="N144" s="2" t="s">
        <v>3414</v>
      </c>
      <c r="O144" s="2">
        <v>2.02E-4</v>
      </c>
      <c r="P144" s="2">
        <v>12073577</v>
      </c>
      <c r="Q144" s="2">
        <v>571</v>
      </c>
    </row>
    <row r="145" spans="1:17" x14ac:dyDescent="0.25">
      <c r="A145" s="1">
        <v>43465</v>
      </c>
      <c r="B145" s="2" t="s">
        <v>3415</v>
      </c>
      <c r="C145" s="2" t="s">
        <v>3416</v>
      </c>
      <c r="D145" s="2">
        <v>20550</v>
      </c>
      <c r="E145" s="2" t="s">
        <v>3417</v>
      </c>
      <c r="F145" s="2" t="s">
        <v>3418</v>
      </c>
      <c r="G145" s="2" t="s">
        <v>3419</v>
      </c>
      <c r="H145" s="2">
        <v>4667313360.4700003</v>
      </c>
      <c r="I145" s="2">
        <v>14500</v>
      </c>
      <c r="J145" s="2">
        <v>14.317954439999999</v>
      </c>
      <c r="K145" s="2" t="s">
        <v>3420</v>
      </c>
      <c r="L145" s="2">
        <v>5831069.7533900002</v>
      </c>
      <c r="M145" s="2">
        <v>43821</v>
      </c>
      <c r="N145" s="2" t="s">
        <v>3421</v>
      </c>
      <c r="O145" s="2">
        <v>2.24E-4</v>
      </c>
      <c r="P145" s="2">
        <v>14233195</v>
      </c>
      <c r="Q145" s="2">
        <v>580</v>
      </c>
    </row>
    <row r="146" spans="1:17" x14ac:dyDescent="0.25">
      <c r="A146" s="1">
        <v>43464</v>
      </c>
      <c r="B146" s="2" t="s">
        <v>3422</v>
      </c>
      <c r="C146" s="2" t="s">
        <v>3423</v>
      </c>
      <c r="D146" s="2">
        <v>23038</v>
      </c>
      <c r="E146" s="2" t="s">
        <v>3424</v>
      </c>
      <c r="F146" s="2" t="s">
        <v>3425</v>
      </c>
      <c r="G146" s="2" t="s">
        <v>3426</v>
      </c>
      <c r="H146" s="2">
        <v>4671912902.1099997</v>
      </c>
      <c r="I146" s="2">
        <v>15100</v>
      </c>
      <c r="J146" s="2">
        <v>13.89235603</v>
      </c>
      <c r="K146" s="2" t="s">
        <v>3427</v>
      </c>
      <c r="L146" s="2">
        <v>5845438.1795300003</v>
      </c>
      <c r="M146" s="2">
        <v>47885</v>
      </c>
      <c r="N146" s="2" t="s">
        <v>3428</v>
      </c>
      <c r="O146" s="2">
        <v>2.24E-4</v>
      </c>
      <c r="P146" s="2">
        <v>14575174</v>
      </c>
      <c r="Q146" s="2">
        <v>604</v>
      </c>
    </row>
    <row r="147" spans="1:17" x14ac:dyDescent="0.25">
      <c r="A147" s="1">
        <v>43463</v>
      </c>
      <c r="B147" s="2" t="s">
        <v>3429</v>
      </c>
      <c r="C147" s="2" t="s">
        <v>3430</v>
      </c>
      <c r="D147" s="2">
        <v>24736</v>
      </c>
      <c r="E147" s="2" t="s">
        <v>3431</v>
      </c>
      <c r="F147" s="2" t="s">
        <v>3432</v>
      </c>
      <c r="G147" s="2" t="s">
        <v>3433</v>
      </c>
      <c r="H147" s="2">
        <v>4674611680.54</v>
      </c>
      <c r="I147" s="2">
        <v>14850</v>
      </c>
      <c r="J147" s="2">
        <v>15.92091937</v>
      </c>
      <c r="K147" s="2" t="s">
        <v>3434</v>
      </c>
      <c r="L147" s="2">
        <v>5946783.4785200004</v>
      </c>
      <c r="M147" s="2">
        <v>47731</v>
      </c>
      <c r="N147" s="2" t="s">
        <v>3435</v>
      </c>
      <c r="O147" s="2">
        <v>1.92E-4</v>
      </c>
      <c r="P147" s="2">
        <v>15827022</v>
      </c>
      <c r="Q147" s="2">
        <v>594</v>
      </c>
    </row>
    <row r="148" spans="1:17" x14ac:dyDescent="0.25">
      <c r="A148" s="1">
        <v>43462</v>
      </c>
      <c r="B148" s="2" t="s">
        <v>3436</v>
      </c>
      <c r="C148" s="2" t="s">
        <v>3437</v>
      </c>
      <c r="D148" s="2">
        <v>24943</v>
      </c>
      <c r="E148" s="2" t="s">
        <v>3438</v>
      </c>
      <c r="F148" s="2" t="s">
        <v>3439</v>
      </c>
      <c r="G148" s="2" t="s">
        <v>3440</v>
      </c>
      <c r="H148" s="2">
        <v>4676649671.3100004</v>
      </c>
      <c r="I148" s="2">
        <v>13650</v>
      </c>
      <c r="J148" s="2">
        <v>15.27894805</v>
      </c>
      <c r="K148" s="2" t="s">
        <v>3441</v>
      </c>
      <c r="L148" s="2">
        <v>5946783.4785200004</v>
      </c>
      <c r="M148" s="2">
        <v>49142</v>
      </c>
      <c r="N148" s="2" t="s">
        <v>3442</v>
      </c>
      <c r="O148" s="2">
        <v>2.1854E-4</v>
      </c>
      <c r="P148" s="2">
        <v>15433343</v>
      </c>
      <c r="Q148" s="2">
        <v>546</v>
      </c>
    </row>
    <row r="149" spans="1:17" x14ac:dyDescent="0.25">
      <c r="A149" s="1">
        <v>43461</v>
      </c>
      <c r="B149" s="2" t="s">
        <v>3443</v>
      </c>
      <c r="C149" s="2" t="s">
        <v>3444</v>
      </c>
      <c r="D149" s="2">
        <v>23365</v>
      </c>
      <c r="E149" s="2" t="s">
        <v>3445</v>
      </c>
      <c r="F149" s="2" t="s">
        <v>3446</v>
      </c>
      <c r="G149" s="2" t="s">
        <v>3447</v>
      </c>
      <c r="H149" s="2">
        <v>4676073071.2799997</v>
      </c>
      <c r="I149" s="2">
        <v>14525</v>
      </c>
      <c r="J149" s="2">
        <v>15.3069422</v>
      </c>
      <c r="K149" s="2" t="s">
        <v>3448</v>
      </c>
      <c r="L149" s="2">
        <v>5946783.4785200004</v>
      </c>
      <c r="M149" s="2">
        <v>48142</v>
      </c>
      <c r="N149" s="2" t="s">
        <v>3449</v>
      </c>
      <c r="O149" s="2">
        <v>2.24E-4</v>
      </c>
      <c r="P149" s="2">
        <v>15217506</v>
      </c>
      <c r="Q149" s="2">
        <v>581</v>
      </c>
    </row>
    <row r="150" spans="1:17" x14ac:dyDescent="0.25">
      <c r="A150" s="1">
        <v>43460</v>
      </c>
      <c r="B150" s="2" t="s">
        <v>3450</v>
      </c>
      <c r="C150" s="2" t="s">
        <v>3451</v>
      </c>
      <c r="D150" s="2">
        <v>21421</v>
      </c>
      <c r="E150" s="2" t="s">
        <v>3452</v>
      </c>
      <c r="F150" s="2" t="s">
        <v>3453</v>
      </c>
      <c r="G150" s="2" t="s">
        <v>3454</v>
      </c>
      <c r="H150" s="2">
        <v>4682879491.3500004</v>
      </c>
      <c r="I150" s="2">
        <v>14100</v>
      </c>
      <c r="J150" s="2">
        <v>15.03614308</v>
      </c>
      <c r="K150" s="2" t="s">
        <v>3455</v>
      </c>
      <c r="L150" s="2">
        <v>5973522.0375499995</v>
      </c>
      <c r="M150" s="2">
        <v>44950</v>
      </c>
      <c r="N150" s="2" t="s">
        <v>3456</v>
      </c>
      <c r="O150" s="2">
        <v>2.24E-4</v>
      </c>
      <c r="P150" s="2">
        <v>15208414</v>
      </c>
      <c r="Q150" s="2">
        <v>564</v>
      </c>
    </row>
    <row r="151" spans="1:17" x14ac:dyDescent="0.25">
      <c r="A151" s="1">
        <v>43459</v>
      </c>
      <c r="B151" s="2" t="s">
        <v>3457</v>
      </c>
      <c r="C151" s="2" t="s">
        <v>3458</v>
      </c>
      <c r="D151" s="2">
        <v>19501</v>
      </c>
      <c r="E151" s="2" t="s">
        <v>3459</v>
      </c>
      <c r="F151" s="2" t="s">
        <v>3460</v>
      </c>
      <c r="G151" s="2" t="s">
        <v>3461</v>
      </c>
      <c r="H151" s="2">
        <v>4690653296.9200001</v>
      </c>
      <c r="I151" s="2">
        <v>13700</v>
      </c>
      <c r="J151" s="2">
        <v>13.170482760000001</v>
      </c>
      <c r="K151" s="2" t="s">
        <v>3462</v>
      </c>
      <c r="L151" s="2">
        <v>5990622.2787899999</v>
      </c>
      <c r="M151" s="2">
        <v>45208</v>
      </c>
      <c r="N151" s="2" t="s">
        <v>3463</v>
      </c>
      <c r="O151" s="2">
        <v>2.24E-4</v>
      </c>
      <c r="P151" s="2">
        <v>13290199</v>
      </c>
      <c r="Q151" s="2">
        <v>548</v>
      </c>
    </row>
    <row r="152" spans="1:17" x14ac:dyDescent="0.25">
      <c r="A152" s="1">
        <v>43458</v>
      </c>
      <c r="B152" s="2" t="s">
        <v>3464</v>
      </c>
      <c r="C152" s="2" t="s">
        <v>3465</v>
      </c>
      <c r="D152" s="2">
        <v>23398</v>
      </c>
      <c r="E152" s="2" t="s">
        <v>3466</v>
      </c>
      <c r="F152" s="2" t="s">
        <v>3467</v>
      </c>
      <c r="G152" s="2" t="s">
        <v>3468</v>
      </c>
      <c r="H152" s="2">
        <v>4693721861.5100002</v>
      </c>
      <c r="I152" s="2">
        <v>14050</v>
      </c>
      <c r="J152" s="2">
        <v>16.762290879999998</v>
      </c>
      <c r="K152" s="2" t="s">
        <v>3469</v>
      </c>
      <c r="L152" s="2">
        <v>5990622.2787899999</v>
      </c>
      <c r="M152" s="2">
        <v>48776</v>
      </c>
      <c r="N152" s="2" t="s">
        <v>3470</v>
      </c>
      <c r="O152" s="2">
        <v>2.2599999999999999E-4</v>
      </c>
      <c r="P152" s="2">
        <v>16261448</v>
      </c>
      <c r="Q152" s="2">
        <v>562</v>
      </c>
    </row>
    <row r="153" spans="1:17" x14ac:dyDescent="0.25">
      <c r="A153" s="1">
        <v>43457</v>
      </c>
      <c r="B153" s="2" t="s">
        <v>3471</v>
      </c>
      <c r="C153" s="2" t="s">
        <v>3472</v>
      </c>
      <c r="D153" s="2">
        <v>23117</v>
      </c>
      <c r="E153" s="2" t="s">
        <v>3473</v>
      </c>
      <c r="F153" s="2" t="s">
        <v>3474</v>
      </c>
      <c r="G153" s="2" t="s">
        <v>3475</v>
      </c>
      <c r="H153" s="2">
        <v>4694604712.9799995</v>
      </c>
      <c r="I153" s="2">
        <v>14850</v>
      </c>
      <c r="J153" s="2">
        <v>14.60254432</v>
      </c>
      <c r="K153" s="2" t="s">
        <v>3476</v>
      </c>
      <c r="L153" s="2">
        <v>5950698.57608</v>
      </c>
      <c r="M153" s="2">
        <v>47301</v>
      </c>
      <c r="N153" s="2" t="s">
        <v>3477</v>
      </c>
      <c r="O153" s="2">
        <v>2.24E-4</v>
      </c>
      <c r="P153" s="2">
        <v>14857826</v>
      </c>
      <c r="Q153" s="2">
        <v>594</v>
      </c>
    </row>
    <row r="154" spans="1:17" x14ac:dyDescent="0.25">
      <c r="A154" s="1">
        <v>43456</v>
      </c>
      <c r="B154" s="2" t="s">
        <v>3478</v>
      </c>
      <c r="C154" s="2" t="s">
        <v>3479</v>
      </c>
      <c r="D154" s="2">
        <v>22843</v>
      </c>
      <c r="E154" s="2" t="s">
        <v>3480</v>
      </c>
      <c r="F154" s="2" t="s">
        <v>3481</v>
      </c>
      <c r="G154" s="2" t="s">
        <v>3482</v>
      </c>
      <c r="H154" s="2">
        <v>4696588322.1999998</v>
      </c>
      <c r="I154" s="2">
        <v>16550</v>
      </c>
      <c r="J154" s="2">
        <v>16.738008520000001</v>
      </c>
      <c r="K154" s="2" t="s">
        <v>3483</v>
      </c>
      <c r="L154" s="2">
        <v>5249538.5472100005</v>
      </c>
      <c r="M154" s="2">
        <v>61093</v>
      </c>
      <c r="N154" s="2" t="s">
        <v>3484</v>
      </c>
      <c r="O154" s="2">
        <v>2.2334000000000001E-4</v>
      </c>
      <c r="P154" s="2">
        <v>16183269</v>
      </c>
      <c r="Q154" s="2">
        <v>662</v>
      </c>
    </row>
    <row r="155" spans="1:17" x14ac:dyDescent="0.25">
      <c r="A155" s="1">
        <v>43455</v>
      </c>
      <c r="B155" s="2" t="s">
        <v>3485</v>
      </c>
      <c r="C155" s="2" t="s">
        <v>3486</v>
      </c>
      <c r="D155" s="2">
        <v>25601</v>
      </c>
      <c r="E155" s="2" t="s">
        <v>3487</v>
      </c>
      <c r="F155" s="2" t="s">
        <v>3488</v>
      </c>
      <c r="G155" s="2" t="s">
        <v>3489</v>
      </c>
      <c r="H155" s="2">
        <v>4696566269.6700001</v>
      </c>
      <c r="I155" s="2">
        <v>16525</v>
      </c>
      <c r="J155" s="2">
        <v>16.333800889999999</v>
      </c>
      <c r="K155" s="2" t="s">
        <v>3490</v>
      </c>
      <c r="L155" s="2">
        <v>5249538.5472100005</v>
      </c>
      <c r="M155" s="2">
        <v>50493</v>
      </c>
      <c r="N155" s="2" t="s">
        <v>3491</v>
      </c>
      <c r="O155" s="2">
        <v>2.24E-4</v>
      </c>
      <c r="P155" s="2">
        <v>16396875</v>
      </c>
      <c r="Q155" s="2">
        <v>661</v>
      </c>
    </row>
    <row r="156" spans="1:17" x14ac:dyDescent="0.25">
      <c r="A156" s="1">
        <v>43454</v>
      </c>
      <c r="B156" s="2" t="s">
        <v>3492</v>
      </c>
      <c r="C156" s="2" t="s">
        <v>3493</v>
      </c>
      <c r="D156" s="2">
        <v>25363</v>
      </c>
      <c r="E156" s="2" t="s">
        <v>3494</v>
      </c>
      <c r="F156" s="2" t="s">
        <v>3495</v>
      </c>
      <c r="G156" s="2" t="s">
        <v>3496</v>
      </c>
      <c r="H156" s="2">
        <v>4699921942.3199997</v>
      </c>
      <c r="I156" s="2">
        <v>16400</v>
      </c>
      <c r="J156" s="2">
        <v>16.73462206</v>
      </c>
      <c r="K156" s="2" t="s">
        <v>3497</v>
      </c>
      <c r="L156" s="2">
        <v>5249538.5472100005</v>
      </c>
      <c r="M156" s="2">
        <v>46892</v>
      </c>
      <c r="N156" s="2" t="s">
        <v>3498</v>
      </c>
      <c r="O156" s="2">
        <v>2.2599999999999999E-4</v>
      </c>
      <c r="P156" s="2">
        <v>16236359</v>
      </c>
      <c r="Q156" s="2">
        <v>656</v>
      </c>
    </row>
    <row r="157" spans="1:17" x14ac:dyDescent="0.25">
      <c r="A157" s="1">
        <v>43453</v>
      </c>
      <c r="B157" s="2" t="s">
        <v>3499</v>
      </c>
      <c r="C157" s="2" t="s">
        <v>3500</v>
      </c>
      <c r="D157" s="2">
        <v>26676</v>
      </c>
      <c r="E157" s="2" t="s">
        <v>3501</v>
      </c>
      <c r="F157" s="2" t="s">
        <v>3502</v>
      </c>
      <c r="G157" s="2" t="s">
        <v>3503</v>
      </c>
      <c r="H157" s="2">
        <v>4698874907.9899998</v>
      </c>
      <c r="I157" s="2">
        <v>14200</v>
      </c>
      <c r="J157" s="2">
        <v>18.644480869999999</v>
      </c>
      <c r="K157" s="2" t="s">
        <v>3504</v>
      </c>
      <c r="L157" s="2">
        <v>5608114.9473000001</v>
      </c>
      <c r="M157" s="2">
        <v>50086</v>
      </c>
      <c r="N157" s="2" t="s">
        <v>3505</v>
      </c>
      <c r="O157" s="2">
        <v>2.24E-4</v>
      </c>
      <c r="P157" s="2">
        <v>17539177</v>
      </c>
      <c r="Q157" s="2">
        <v>568</v>
      </c>
    </row>
    <row r="158" spans="1:17" x14ac:dyDescent="0.25">
      <c r="A158" s="1">
        <v>43452</v>
      </c>
      <c r="B158" s="2" t="s">
        <v>3506</v>
      </c>
      <c r="C158" s="2" t="s">
        <v>3507</v>
      </c>
      <c r="D158" s="2">
        <v>24504</v>
      </c>
      <c r="E158" s="2" t="s">
        <v>3508</v>
      </c>
      <c r="F158" s="2" t="s">
        <v>3509</v>
      </c>
      <c r="G158" s="2" t="s">
        <v>3510</v>
      </c>
      <c r="H158" s="2">
        <v>4704433341.6199999</v>
      </c>
      <c r="I158" s="2">
        <v>12975</v>
      </c>
      <c r="J158" s="2">
        <v>15.903249239999999</v>
      </c>
      <c r="K158" s="2" t="s">
        <v>3511</v>
      </c>
      <c r="L158" s="2">
        <v>5611299.46239</v>
      </c>
      <c r="M158" s="2">
        <v>42707</v>
      </c>
      <c r="N158" s="2" t="s">
        <v>3512</v>
      </c>
      <c r="O158" s="2">
        <v>2.24E-4</v>
      </c>
      <c r="P158" s="2">
        <v>15138870</v>
      </c>
      <c r="Q158" s="2">
        <v>519</v>
      </c>
    </row>
    <row r="159" spans="1:17" x14ac:dyDescent="0.25">
      <c r="A159" s="1">
        <v>43451</v>
      </c>
      <c r="B159" s="2" t="s">
        <v>3513</v>
      </c>
      <c r="C159" s="2" t="s">
        <v>3514</v>
      </c>
      <c r="D159" s="2">
        <v>24849</v>
      </c>
      <c r="E159" s="2" t="s">
        <v>3515</v>
      </c>
      <c r="F159" s="2" t="s">
        <v>3516</v>
      </c>
      <c r="G159" s="2" t="s">
        <v>3517</v>
      </c>
      <c r="H159" s="2">
        <v>4706569763.8000002</v>
      </c>
      <c r="I159" s="2">
        <v>13500</v>
      </c>
      <c r="J159" s="2">
        <v>19.50039198</v>
      </c>
      <c r="K159" s="2" t="s">
        <v>3518</v>
      </c>
      <c r="L159" s="2">
        <v>5611299.46239</v>
      </c>
      <c r="M159" s="2">
        <v>52844</v>
      </c>
      <c r="N159" s="2" t="s">
        <v>3519</v>
      </c>
      <c r="O159" s="2">
        <v>2.24E-4</v>
      </c>
      <c r="P159" s="2">
        <v>17210586</v>
      </c>
      <c r="Q159" s="2">
        <v>540</v>
      </c>
    </row>
    <row r="160" spans="1:17" x14ac:dyDescent="0.25">
      <c r="A160" s="1">
        <v>43450</v>
      </c>
      <c r="B160" s="2" t="s">
        <v>3520</v>
      </c>
      <c r="C160" s="2" t="s">
        <v>3521</v>
      </c>
      <c r="D160" s="2">
        <v>21513</v>
      </c>
      <c r="E160" s="2" t="s">
        <v>3522</v>
      </c>
      <c r="F160" s="2" t="s">
        <v>3523</v>
      </c>
      <c r="G160" s="2" t="s">
        <v>3524</v>
      </c>
      <c r="H160" s="2">
        <v>4725300762.8100004</v>
      </c>
      <c r="I160" s="2">
        <v>13500</v>
      </c>
      <c r="J160" s="2">
        <v>14.408310269999999</v>
      </c>
      <c r="K160" s="2" t="s">
        <v>3525</v>
      </c>
      <c r="L160" s="2">
        <v>5590874.2054899996</v>
      </c>
      <c r="M160" s="2">
        <v>41580</v>
      </c>
      <c r="N160" s="2" t="s">
        <v>3526</v>
      </c>
      <c r="O160" s="2">
        <v>2.24E-4</v>
      </c>
      <c r="P160" s="2">
        <v>13489664</v>
      </c>
      <c r="Q160" s="2">
        <v>540</v>
      </c>
    </row>
    <row r="161" spans="1:17" x14ac:dyDescent="0.25">
      <c r="A161" s="1">
        <v>43449</v>
      </c>
      <c r="B161" s="2" t="s">
        <v>3527</v>
      </c>
      <c r="C161" s="2" t="s">
        <v>3528</v>
      </c>
      <c r="D161" s="2">
        <v>22674</v>
      </c>
      <c r="E161" s="2" t="s">
        <v>3529</v>
      </c>
      <c r="F161" s="2" t="s">
        <v>3530</v>
      </c>
      <c r="G161" s="2" t="s">
        <v>3531</v>
      </c>
      <c r="H161" s="2">
        <v>4728544692.8400002</v>
      </c>
      <c r="I161" s="2">
        <v>13875</v>
      </c>
      <c r="J161" s="2">
        <v>14.924600180000001</v>
      </c>
      <c r="K161" s="2" t="s">
        <v>3532</v>
      </c>
      <c r="L161" s="2">
        <v>5535753.9916500002</v>
      </c>
      <c r="M161" s="2">
        <v>46367</v>
      </c>
      <c r="N161" s="2" t="s">
        <v>3533</v>
      </c>
      <c r="O161" s="2">
        <v>1.92E-4</v>
      </c>
      <c r="P161" s="2">
        <v>35771831</v>
      </c>
      <c r="Q161" s="2">
        <v>555</v>
      </c>
    </row>
    <row r="162" spans="1:17" x14ac:dyDescent="0.25">
      <c r="A162" s="1">
        <v>43448</v>
      </c>
      <c r="B162" s="2" t="s">
        <v>3534</v>
      </c>
      <c r="C162" s="2" t="s">
        <v>3535</v>
      </c>
      <c r="D162" s="2">
        <v>23350</v>
      </c>
      <c r="E162" s="2" t="s">
        <v>3536</v>
      </c>
      <c r="F162" s="2" t="s">
        <v>3537</v>
      </c>
      <c r="G162" s="2" t="s">
        <v>3538</v>
      </c>
      <c r="H162" s="2">
        <v>4733077081.5</v>
      </c>
      <c r="I162" s="2">
        <v>14300</v>
      </c>
      <c r="J162" s="2">
        <v>15.77115092</v>
      </c>
      <c r="K162" s="2" t="s">
        <v>3539</v>
      </c>
      <c r="L162" s="2">
        <v>5535753.9916500002</v>
      </c>
      <c r="M162" s="2">
        <v>47657</v>
      </c>
      <c r="N162" s="2" t="s">
        <v>3540</v>
      </c>
      <c r="O162" s="2">
        <v>2.23E-4</v>
      </c>
      <c r="P162" s="2">
        <v>14788411</v>
      </c>
      <c r="Q162" s="2">
        <v>572</v>
      </c>
    </row>
    <row r="163" spans="1:17" x14ac:dyDescent="0.25">
      <c r="A163" s="1">
        <v>43447</v>
      </c>
      <c r="B163" s="2" t="s">
        <v>3541</v>
      </c>
      <c r="C163" s="2" t="s">
        <v>3542</v>
      </c>
      <c r="D163" s="2">
        <v>22369</v>
      </c>
      <c r="E163" s="2" t="s">
        <v>3543</v>
      </c>
      <c r="F163" s="2" t="s">
        <v>3544</v>
      </c>
      <c r="G163" s="2" t="s">
        <v>3545</v>
      </c>
      <c r="H163" s="2">
        <v>4740428767.9099998</v>
      </c>
      <c r="I163" s="2">
        <v>15350</v>
      </c>
      <c r="J163" s="2">
        <v>15.33184967</v>
      </c>
      <c r="K163" s="2" t="s">
        <v>3546</v>
      </c>
      <c r="L163" s="2">
        <v>5535753.9916500002</v>
      </c>
      <c r="M163" s="2">
        <v>47459</v>
      </c>
      <c r="N163" s="2" t="s">
        <v>3547</v>
      </c>
      <c r="O163" s="2">
        <v>2.24E-4</v>
      </c>
      <c r="P163" s="2">
        <v>15777815</v>
      </c>
      <c r="Q163" s="2">
        <v>614</v>
      </c>
    </row>
    <row r="164" spans="1:17" x14ac:dyDescent="0.25">
      <c r="A164" s="1">
        <v>43446</v>
      </c>
      <c r="B164" s="2" t="s">
        <v>3548</v>
      </c>
      <c r="C164" s="2" t="s">
        <v>3549</v>
      </c>
      <c r="D164" s="2">
        <v>22057</v>
      </c>
      <c r="E164" s="2" t="s">
        <v>3550</v>
      </c>
      <c r="F164" s="2" t="s">
        <v>3551</v>
      </c>
      <c r="G164" s="2" t="s">
        <v>3552</v>
      </c>
      <c r="H164" s="2">
        <v>4754300009.3699999</v>
      </c>
      <c r="I164" s="2">
        <v>14100</v>
      </c>
      <c r="J164" s="2">
        <v>14.68370649</v>
      </c>
      <c r="K164" s="2" t="s">
        <v>3553</v>
      </c>
      <c r="L164" s="2">
        <v>5843438.0574599998</v>
      </c>
      <c r="M164" s="2">
        <v>47038</v>
      </c>
      <c r="N164" s="2" t="s">
        <v>3554</v>
      </c>
      <c r="O164" s="2">
        <v>2.1854E-4</v>
      </c>
      <c r="P164" s="2">
        <v>16439746</v>
      </c>
      <c r="Q164" s="2">
        <v>564</v>
      </c>
    </row>
    <row r="165" spans="1:17" x14ac:dyDescent="0.25">
      <c r="A165" s="1">
        <v>43445</v>
      </c>
      <c r="B165" s="2" t="s">
        <v>3555</v>
      </c>
      <c r="C165" s="2" t="s">
        <v>3556</v>
      </c>
      <c r="D165" s="2">
        <v>22066</v>
      </c>
      <c r="E165" s="2" t="s">
        <v>3557</v>
      </c>
      <c r="F165" s="2" t="s">
        <v>3558</v>
      </c>
      <c r="G165" s="2" t="s">
        <v>3559</v>
      </c>
      <c r="H165" s="2">
        <v>4757116249.8400002</v>
      </c>
      <c r="I165" s="2">
        <v>12675</v>
      </c>
      <c r="J165" s="2">
        <v>14.846286429999999</v>
      </c>
      <c r="K165" s="2" t="s">
        <v>3560</v>
      </c>
      <c r="L165" s="2">
        <v>5934682.2976700002</v>
      </c>
      <c r="M165" s="2">
        <v>46457</v>
      </c>
      <c r="N165" s="2" t="s">
        <v>3561</v>
      </c>
      <c r="O165" s="2">
        <v>2.24E-4</v>
      </c>
      <c r="P165" s="2">
        <v>15334485</v>
      </c>
      <c r="Q165" s="2">
        <v>507</v>
      </c>
    </row>
    <row r="166" spans="1:17" x14ac:dyDescent="0.25">
      <c r="A166" s="1">
        <v>43444</v>
      </c>
      <c r="B166" s="2" t="s">
        <v>3562</v>
      </c>
      <c r="C166" s="2" t="s">
        <v>3563</v>
      </c>
      <c r="D166" s="2">
        <v>22763</v>
      </c>
      <c r="E166" s="2" t="s">
        <v>3564</v>
      </c>
      <c r="F166" s="2" t="s">
        <v>3565</v>
      </c>
      <c r="G166" s="2" t="s">
        <v>3566</v>
      </c>
      <c r="H166" s="2">
        <v>4764365963.75</v>
      </c>
      <c r="I166" s="2">
        <v>13925</v>
      </c>
      <c r="J166" s="2">
        <v>19.346849160000001</v>
      </c>
      <c r="K166" s="2" t="s">
        <v>3567</v>
      </c>
      <c r="L166" s="2">
        <v>5934682.2976700002</v>
      </c>
      <c r="M166" s="2">
        <v>46833</v>
      </c>
      <c r="N166" s="2" t="s">
        <v>3568</v>
      </c>
      <c r="O166" s="2">
        <v>2.22E-4</v>
      </c>
      <c r="P166" s="2">
        <v>18290281</v>
      </c>
      <c r="Q166" s="2">
        <v>557</v>
      </c>
    </row>
    <row r="167" spans="1:17" x14ac:dyDescent="0.25">
      <c r="A167" s="1">
        <v>43443</v>
      </c>
      <c r="B167" s="2" t="s">
        <v>3569</v>
      </c>
      <c r="C167" s="2" t="s">
        <v>3570</v>
      </c>
      <c r="D167" s="2">
        <v>21575</v>
      </c>
      <c r="E167" s="2" t="s">
        <v>3571</v>
      </c>
      <c r="F167" s="2" t="s">
        <v>3572</v>
      </c>
      <c r="G167" s="2" t="s">
        <v>3573</v>
      </c>
      <c r="H167" s="2">
        <v>4772184636.4799995</v>
      </c>
      <c r="I167" s="2">
        <v>13650</v>
      </c>
      <c r="J167" s="2">
        <v>14.051105310000001</v>
      </c>
      <c r="K167" s="2" t="s">
        <v>3574</v>
      </c>
      <c r="L167" s="2">
        <v>5953120.15393</v>
      </c>
      <c r="M167" s="2">
        <v>46421</v>
      </c>
      <c r="N167" s="2" t="s">
        <v>3575</v>
      </c>
      <c r="O167" s="2">
        <v>2.24E-4</v>
      </c>
      <c r="P167" s="2">
        <v>13437855</v>
      </c>
      <c r="Q167" s="2">
        <v>546</v>
      </c>
    </row>
    <row r="168" spans="1:17" x14ac:dyDescent="0.25">
      <c r="A168" s="1">
        <v>43442</v>
      </c>
      <c r="B168" s="2" t="s">
        <v>3576</v>
      </c>
      <c r="C168" s="2" t="s">
        <v>3577</v>
      </c>
      <c r="D168" s="2">
        <v>23659</v>
      </c>
      <c r="E168" s="2" t="s">
        <v>3578</v>
      </c>
      <c r="F168" s="2" t="s">
        <v>3579</v>
      </c>
      <c r="G168" s="2" t="s">
        <v>3580</v>
      </c>
      <c r="H168" s="2">
        <v>4775475495.3599997</v>
      </c>
      <c r="I168" s="2">
        <v>13275</v>
      </c>
      <c r="J168" s="2">
        <v>14.40072144</v>
      </c>
      <c r="K168" s="2" t="s">
        <v>3581</v>
      </c>
      <c r="L168" s="2">
        <v>6281822.6258699996</v>
      </c>
      <c r="M168" s="2">
        <v>48064</v>
      </c>
      <c r="N168" s="2" t="s">
        <v>3582</v>
      </c>
      <c r="O168" s="2">
        <v>1.92E-4</v>
      </c>
      <c r="P168" s="2">
        <v>14221751</v>
      </c>
      <c r="Q168" s="2">
        <v>531</v>
      </c>
    </row>
    <row r="169" spans="1:17" x14ac:dyDescent="0.25">
      <c r="A169" s="1">
        <v>43441</v>
      </c>
      <c r="B169" s="2" t="s">
        <v>3583</v>
      </c>
      <c r="C169" s="2" t="s">
        <v>3584</v>
      </c>
      <c r="D169" s="2">
        <v>27082</v>
      </c>
      <c r="E169" s="2" t="s">
        <v>3585</v>
      </c>
      <c r="F169" s="2" t="s">
        <v>3586</v>
      </c>
      <c r="G169" s="2" t="s">
        <v>3587</v>
      </c>
      <c r="H169" s="2">
        <v>4782926074.5699997</v>
      </c>
      <c r="I169" s="2">
        <v>13400</v>
      </c>
      <c r="J169" s="2">
        <v>18.78277447</v>
      </c>
      <c r="K169" s="2" t="s">
        <v>3588</v>
      </c>
      <c r="L169" s="2">
        <v>6281822.6258699996</v>
      </c>
      <c r="M169" s="2">
        <v>52303</v>
      </c>
      <c r="N169" s="2" t="s">
        <v>3589</v>
      </c>
      <c r="O169" s="2">
        <v>2.1854E-4</v>
      </c>
      <c r="P169" s="2">
        <v>16867577</v>
      </c>
      <c r="Q169" s="2">
        <v>536</v>
      </c>
    </row>
    <row r="170" spans="1:17" x14ac:dyDescent="0.25">
      <c r="A170" s="1">
        <v>43440</v>
      </c>
      <c r="B170" s="2" t="s">
        <v>3590</v>
      </c>
      <c r="C170" s="2" t="s">
        <v>3591</v>
      </c>
      <c r="D170" s="2">
        <v>23111</v>
      </c>
      <c r="E170" s="2" t="s">
        <v>3592</v>
      </c>
      <c r="F170" s="2" t="s">
        <v>3593</v>
      </c>
      <c r="G170" s="2" t="s">
        <v>3594</v>
      </c>
      <c r="H170" s="2">
        <v>4823838454.8000002</v>
      </c>
      <c r="I170" s="2">
        <v>13725</v>
      </c>
      <c r="J170" s="2">
        <v>16.754272929999999</v>
      </c>
      <c r="K170" s="2" t="s">
        <v>3595</v>
      </c>
      <c r="L170" s="2">
        <v>6281822.6258699996</v>
      </c>
      <c r="M170" s="2">
        <v>48799</v>
      </c>
      <c r="N170" s="2" t="s">
        <v>3596</v>
      </c>
      <c r="O170" s="2">
        <v>2.2599999999999999E-4</v>
      </c>
      <c r="P170" s="2">
        <v>15173568</v>
      </c>
      <c r="Q170" s="2">
        <v>549</v>
      </c>
    </row>
    <row r="171" spans="1:17" x14ac:dyDescent="0.25">
      <c r="A171" s="1">
        <v>43439</v>
      </c>
      <c r="B171" s="2" t="s">
        <v>3597</v>
      </c>
      <c r="C171" s="2" t="s">
        <v>3598</v>
      </c>
      <c r="D171" s="2">
        <v>22328</v>
      </c>
      <c r="E171" s="2" t="s">
        <v>3599</v>
      </c>
      <c r="F171" s="2" t="s">
        <v>3600</v>
      </c>
      <c r="G171" s="2" t="s">
        <v>3601</v>
      </c>
      <c r="H171" s="2">
        <v>4844848110.8100004</v>
      </c>
      <c r="I171" s="2">
        <v>14025</v>
      </c>
      <c r="J171" s="2">
        <v>15.813925899999999</v>
      </c>
      <c r="K171" s="2" t="s">
        <v>3602</v>
      </c>
      <c r="L171" s="2">
        <v>6189797.4775299998</v>
      </c>
      <c r="M171" s="2">
        <v>47614</v>
      </c>
      <c r="N171" s="2" t="s">
        <v>3603</v>
      </c>
      <c r="O171" s="2">
        <v>2.24E-4</v>
      </c>
      <c r="P171" s="2">
        <v>14940555</v>
      </c>
      <c r="Q171" s="2">
        <v>561</v>
      </c>
    </row>
    <row r="172" spans="1:17" x14ac:dyDescent="0.25">
      <c r="A172" s="1">
        <v>43438</v>
      </c>
      <c r="B172" s="2" t="s">
        <v>3604</v>
      </c>
      <c r="C172" s="2" t="s">
        <v>3605</v>
      </c>
      <c r="D172" s="2">
        <v>21448</v>
      </c>
      <c r="E172" s="2" t="s">
        <v>3606</v>
      </c>
      <c r="F172" s="2" t="s">
        <v>3607</v>
      </c>
      <c r="G172" s="2" t="s">
        <v>3608</v>
      </c>
      <c r="H172" s="2">
        <v>4852389726.2299995</v>
      </c>
      <c r="I172" s="2">
        <v>15650</v>
      </c>
      <c r="J172" s="2">
        <v>15.96903674</v>
      </c>
      <c r="K172" s="2" t="s">
        <v>3609</v>
      </c>
      <c r="L172" s="2">
        <v>6010106.2668300001</v>
      </c>
      <c r="M172" s="2">
        <v>48190</v>
      </c>
      <c r="N172" s="2" t="s">
        <v>3610</v>
      </c>
      <c r="O172" s="2">
        <v>2.24E-4</v>
      </c>
      <c r="P172" s="2">
        <v>14874372</v>
      </c>
      <c r="Q172" s="2">
        <v>626</v>
      </c>
    </row>
    <row r="173" spans="1:17" x14ac:dyDescent="0.25">
      <c r="A173" s="1">
        <v>43437</v>
      </c>
      <c r="B173" s="2" t="s">
        <v>3611</v>
      </c>
      <c r="C173" s="2" t="s">
        <v>3612</v>
      </c>
      <c r="D173" s="2">
        <v>21575</v>
      </c>
      <c r="E173" s="2" t="s">
        <v>3613</v>
      </c>
      <c r="F173" s="2" t="s">
        <v>3614</v>
      </c>
      <c r="G173" s="2" t="s">
        <v>3615</v>
      </c>
      <c r="H173" s="2">
        <v>4855755324.8400002</v>
      </c>
      <c r="I173" s="2">
        <v>14975</v>
      </c>
      <c r="J173" s="2">
        <v>15.100361769999999</v>
      </c>
      <c r="K173" s="2" t="s">
        <v>3616</v>
      </c>
      <c r="L173" s="2">
        <v>6010106.2668300001</v>
      </c>
      <c r="M173" s="2">
        <v>46586</v>
      </c>
      <c r="N173" s="2" t="s">
        <v>3617</v>
      </c>
      <c r="O173" s="2">
        <v>2.24E-4</v>
      </c>
      <c r="P173" s="2">
        <v>14879235</v>
      </c>
      <c r="Q173" s="2">
        <v>599</v>
      </c>
    </row>
    <row r="174" spans="1:17" x14ac:dyDescent="0.25">
      <c r="A174" s="1">
        <v>43436</v>
      </c>
      <c r="B174" s="2" t="s">
        <v>3618</v>
      </c>
      <c r="C174" s="2" t="s">
        <v>3619</v>
      </c>
      <c r="D174" s="2">
        <v>20152</v>
      </c>
      <c r="E174" s="2" t="s">
        <v>3620</v>
      </c>
      <c r="F174" s="2" t="s">
        <v>3621</v>
      </c>
      <c r="G174" s="2" t="s">
        <v>3622</v>
      </c>
      <c r="H174" s="2">
        <v>4861926674.6700001</v>
      </c>
      <c r="I174" s="2">
        <v>14900</v>
      </c>
      <c r="J174" s="2">
        <v>13.6420771</v>
      </c>
      <c r="K174" s="2" t="s">
        <v>3623</v>
      </c>
      <c r="L174" s="2">
        <v>6010106.2668300001</v>
      </c>
      <c r="M174" s="2">
        <v>45974</v>
      </c>
      <c r="N174" s="2" t="s">
        <v>3624</v>
      </c>
      <c r="O174" s="2">
        <v>2.24E-4</v>
      </c>
      <c r="P174" s="2">
        <v>13778963</v>
      </c>
      <c r="Q174" s="2">
        <v>596</v>
      </c>
    </row>
    <row r="175" spans="1:17" x14ac:dyDescent="0.25">
      <c r="A175" s="1">
        <v>43435</v>
      </c>
      <c r="B175" s="2" t="s">
        <v>3625</v>
      </c>
      <c r="C175" s="2" t="s">
        <v>3626</v>
      </c>
      <c r="D175" s="2">
        <v>22753</v>
      </c>
      <c r="E175" s="2" t="s">
        <v>3627</v>
      </c>
      <c r="F175" s="2" t="s">
        <v>3628</v>
      </c>
      <c r="G175" s="2" t="s">
        <v>3629</v>
      </c>
      <c r="H175" s="2">
        <v>4864622416.3599997</v>
      </c>
      <c r="I175" s="2">
        <v>14825</v>
      </c>
      <c r="J175" s="2">
        <v>15.00331012</v>
      </c>
      <c r="K175" s="2" t="s">
        <v>3630</v>
      </c>
      <c r="L175" s="2">
        <v>6083713.2793300003</v>
      </c>
      <c r="M175" s="2">
        <v>49023</v>
      </c>
      <c r="N175" s="2" t="s">
        <v>3631</v>
      </c>
      <c r="O175" s="2">
        <v>2.1854E-4</v>
      </c>
      <c r="P175" s="2">
        <v>14750763</v>
      </c>
      <c r="Q175" s="2">
        <v>593</v>
      </c>
    </row>
    <row r="176" spans="1:17" x14ac:dyDescent="0.25">
      <c r="A176" s="1">
        <v>43434</v>
      </c>
      <c r="B176" s="2" t="s">
        <v>3632</v>
      </c>
      <c r="C176" s="2" t="s">
        <v>3633</v>
      </c>
      <c r="D176" s="2">
        <v>26265</v>
      </c>
      <c r="E176" s="2" t="s">
        <v>3634</v>
      </c>
      <c r="F176" s="2" t="s">
        <v>3635</v>
      </c>
      <c r="G176" s="2" t="s">
        <v>3636</v>
      </c>
      <c r="H176" s="2">
        <v>4865900779.5699997</v>
      </c>
      <c r="I176" s="2">
        <v>14450</v>
      </c>
      <c r="J176" s="2">
        <v>16.16558959</v>
      </c>
      <c r="K176" s="2" t="s">
        <v>3637</v>
      </c>
      <c r="L176" s="2">
        <v>6084339.1892999997</v>
      </c>
      <c r="M176" s="2">
        <v>56962</v>
      </c>
      <c r="N176" s="2" t="s">
        <v>3638</v>
      </c>
      <c r="O176" s="2">
        <v>1.6799999999999999E-4</v>
      </c>
      <c r="P176" s="2">
        <v>17731320</v>
      </c>
      <c r="Q176" s="2">
        <v>578</v>
      </c>
    </row>
    <row r="177" spans="1:17" x14ac:dyDescent="0.25">
      <c r="A177" s="1">
        <v>43433</v>
      </c>
      <c r="B177" s="2" t="s">
        <v>3639</v>
      </c>
      <c r="C177" s="2" t="s">
        <v>3640</v>
      </c>
      <c r="D177" s="2">
        <v>24147</v>
      </c>
      <c r="E177" s="2" t="s">
        <v>3641</v>
      </c>
      <c r="F177" s="2" t="s">
        <v>3642</v>
      </c>
      <c r="G177" s="2" t="s">
        <v>3643</v>
      </c>
      <c r="H177" s="2">
        <v>5893507008.5799999</v>
      </c>
      <c r="I177" s="2">
        <v>13675</v>
      </c>
      <c r="J177" s="2">
        <v>15.719318530000001</v>
      </c>
      <c r="K177" s="2" t="s">
        <v>3644</v>
      </c>
      <c r="L177" s="2">
        <v>6084339.1892999997</v>
      </c>
      <c r="M177" s="2">
        <v>52924</v>
      </c>
      <c r="N177" s="2" t="s">
        <v>3645</v>
      </c>
      <c r="O177" s="2">
        <v>2.1944E-4</v>
      </c>
      <c r="P177" s="2">
        <v>16684185</v>
      </c>
      <c r="Q177" s="2">
        <v>547</v>
      </c>
    </row>
    <row r="178" spans="1:17" x14ac:dyDescent="0.25">
      <c r="A178" s="1">
        <v>43432</v>
      </c>
      <c r="B178" s="2" t="s">
        <v>3646</v>
      </c>
      <c r="C178" s="2" t="s">
        <v>3647</v>
      </c>
      <c r="D178" s="2">
        <v>25022</v>
      </c>
      <c r="E178" s="2" t="s">
        <v>3648</v>
      </c>
      <c r="F178" s="2" t="s">
        <v>3649</v>
      </c>
      <c r="G178" s="2" t="s">
        <v>3650</v>
      </c>
      <c r="H178" s="2">
        <v>6139421691.5200005</v>
      </c>
      <c r="I178" s="2">
        <v>13275</v>
      </c>
      <c r="J178" s="2">
        <v>18.632934120000002</v>
      </c>
      <c r="K178" s="2" t="s">
        <v>3651</v>
      </c>
      <c r="L178" s="2">
        <v>6416127.7506900001</v>
      </c>
      <c r="M178" s="2">
        <v>51271</v>
      </c>
      <c r="N178" s="2" t="s">
        <v>3652</v>
      </c>
      <c r="O178" s="2">
        <v>2.24E-4</v>
      </c>
      <c r="P178" s="2">
        <v>17132191</v>
      </c>
      <c r="Q178" s="2">
        <v>531</v>
      </c>
    </row>
    <row r="179" spans="1:17" x14ac:dyDescent="0.25">
      <c r="A179" s="1">
        <v>43431</v>
      </c>
      <c r="B179" s="2" t="s">
        <v>3653</v>
      </c>
      <c r="C179" s="2" t="s">
        <v>3654</v>
      </c>
      <c r="D179" s="2">
        <v>22852</v>
      </c>
      <c r="E179" s="2" t="s">
        <v>3655</v>
      </c>
      <c r="F179" s="2" t="s">
        <v>3656</v>
      </c>
      <c r="G179" s="2" t="s">
        <v>3657</v>
      </c>
      <c r="H179" s="2">
        <v>6143566029.0699997</v>
      </c>
      <c r="I179" s="2">
        <v>11650</v>
      </c>
      <c r="J179" s="2">
        <v>16.465000790000001</v>
      </c>
      <c r="K179" s="2" t="s">
        <v>3658</v>
      </c>
      <c r="L179" s="2">
        <v>6857057.2862299997</v>
      </c>
      <c r="M179" s="2">
        <v>51000</v>
      </c>
      <c r="N179" s="2" t="s">
        <v>3659</v>
      </c>
      <c r="O179" s="2">
        <v>2.24E-4</v>
      </c>
      <c r="P179" s="2">
        <v>15660313</v>
      </c>
      <c r="Q179" s="2">
        <v>466</v>
      </c>
    </row>
    <row r="180" spans="1:17" x14ac:dyDescent="0.25">
      <c r="A180" s="1">
        <v>43430</v>
      </c>
      <c r="B180" s="2" t="s">
        <v>3660</v>
      </c>
      <c r="C180" s="2" t="s">
        <v>3661</v>
      </c>
      <c r="D180" s="2">
        <v>23655</v>
      </c>
      <c r="E180" s="2" t="s">
        <v>3662</v>
      </c>
      <c r="F180" s="2" t="s">
        <v>3663</v>
      </c>
      <c r="G180" s="2" t="s">
        <v>3664</v>
      </c>
      <c r="H180" s="2">
        <v>6149452841.3500004</v>
      </c>
      <c r="I180" s="2">
        <v>12500</v>
      </c>
      <c r="J180" s="2">
        <v>17.553623009999999</v>
      </c>
      <c r="K180" s="2" t="s">
        <v>3665</v>
      </c>
      <c r="L180" s="2">
        <v>6857057.2862299997</v>
      </c>
      <c r="M180" s="2">
        <v>49785</v>
      </c>
      <c r="N180" s="2" t="s">
        <v>3666</v>
      </c>
      <c r="O180" s="2">
        <v>2.24E-4</v>
      </c>
      <c r="P180" s="2">
        <v>15961724</v>
      </c>
      <c r="Q180" s="2">
        <v>500</v>
      </c>
    </row>
    <row r="181" spans="1:17" x14ac:dyDescent="0.25">
      <c r="A181" s="1">
        <v>43429</v>
      </c>
      <c r="B181" s="2" t="s">
        <v>3667</v>
      </c>
      <c r="C181" s="2" t="s">
        <v>3668</v>
      </c>
      <c r="D181" s="2">
        <v>24047</v>
      </c>
      <c r="E181" s="2" t="s">
        <v>3669</v>
      </c>
      <c r="F181" s="2" t="s">
        <v>3670</v>
      </c>
      <c r="G181" s="2" t="s">
        <v>3671</v>
      </c>
      <c r="H181" s="2">
        <v>6160372468.3400002</v>
      </c>
      <c r="I181" s="2">
        <v>13025</v>
      </c>
      <c r="J181" s="2">
        <v>18.094857619999999</v>
      </c>
      <c r="K181" s="2" t="s">
        <v>3672</v>
      </c>
      <c r="L181" s="2">
        <v>6857057.2862299997</v>
      </c>
      <c r="M181" s="2">
        <v>54602</v>
      </c>
      <c r="N181" s="2" t="s">
        <v>3673</v>
      </c>
      <c r="O181" s="2">
        <v>2.2456E-4</v>
      </c>
      <c r="P181" s="2">
        <v>15910600</v>
      </c>
      <c r="Q181" s="2">
        <v>521</v>
      </c>
    </row>
    <row r="182" spans="1:17" x14ac:dyDescent="0.25">
      <c r="A182" s="1">
        <v>43428</v>
      </c>
      <c r="B182" s="2" t="s">
        <v>3674</v>
      </c>
      <c r="C182" s="2" t="s">
        <v>3675</v>
      </c>
      <c r="D182" s="2">
        <v>22675</v>
      </c>
      <c r="E182" s="2" t="s">
        <v>3676</v>
      </c>
      <c r="F182" s="2" t="s">
        <v>3677</v>
      </c>
      <c r="G182" s="2" t="s">
        <v>3678</v>
      </c>
      <c r="H182" s="2">
        <v>6168184031.9099998</v>
      </c>
      <c r="I182" s="2">
        <v>13700</v>
      </c>
      <c r="J182" s="2">
        <v>15.138578839999999</v>
      </c>
      <c r="K182" s="2" t="s">
        <v>3679</v>
      </c>
      <c r="L182" s="2">
        <v>7139609.90594</v>
      </c>
      <c r="M182" s="2">
        <v>45358</v>
      </c>
      <c r="N182" s="2" t="s">
        <v>3680</v>
      </c>
      <c r="O182" s="2">
        <v>2.2104000000000001E-4</v>
      </c>
      <c r="P182" s="2">
        <v>14505231</v>
      </c>
      <c r="Q182" s="2">
        <v>548</v>
      </c>
    </row>
    <row r="183" spans="1:17" x14ac:dyDescent="0.25">
      <c r="A183" s="1">
        <v>43427</v>
      </c>
      <c r="B183" s="2" t="s">
        <v>3681</v>
      </c>
      <c r="C183" s="2" t="s">
        <v>3682</v>
      </c>
      <c r="D183" s="2">
        <v>24058</v>
      </c>
      <c r="E183" s="2" t="s">
        <v>3683</v>
      </c>
      <c r="F183" s="2" t="s">
        <v>3392</v>
      </c>
      <c r="G183" s="2" t="s">
        <v>3684</v>
      </c>
      <c r="H183" s="2">
        <v>6174128892.5900002</v>
      </c>
      <c r="I183" s="2">
        <v>12700</v>
      </c>
      <c r="J183" s="2">
        <v>16.258120850000001</v>
      </c>
      <c r="K183" s="2" t="s">
        <v>3685</v>
      </c>
      <c r="L183" s="2">
        <v>7483935.16316</v>
      </c>
      <c r="M183" s="2">
        <v>54358</v>
      </c>
      <c r="N183" s="2" t="s">
        <v>3686</v>
      </c>
      <c r="O183" s="2">
        <v>2.24E-4</v>
      </c>
      <c r="P183" s="2">
        <v>15128279</v>
      </c>
      <c r="Q183" s="2">
        <v>508</v>
      </c>
    </row>
    <row r="184" spans="1:17" x14ac:dyDescent="0.25">
      <c r="A184" s="1">
        <v>43426</v>
      </c>
      <c r="B184" s="2" t="s">
        <v>3687</v>
      </c>
      <c r="C184" s="2" t="s">
        <v>3688</v>
      </c>
      <c r="D184" s="2">
        <v>23595</v>
      </c>
      <c r="E184" s="2" t="s">
        <v>3689</v>
      </c>
      <c r="F184" s="2" t="s">
        <v>3690</v>
      </c>
      <c r="G184" s="2" t="s">
        <v>3691</v>
      </c>
      <c r="H184" s="2">
        <v>6226727451.6199999</v>
      </c>
      <c r="I184" s="2">
        <v>13675</v>
      </c>
      <c r="J184" s="2">
        <v>15.548290659999999</v>
      </c>
      <c r="K184" s="2" t="s">
        <v>3692</v>
      </c>
      <c r="L184" s="2">
        <v>7483935.16316</v>
      </c>
      <c r="M184" s="2">
        <v>46345</v>
      </c>
      <c r="N184" s="2" t="s">
        <v>3693</v>
      </c>
      <c r="O184" s="2">
        <v>2.2599999999999999E-4</v>
      </c>
      <c r="P184" s="2">
        <v>15128007</v>
      </c>
      <c r="Q184" s="2">
        <v>547</v>
      </c>
    </row>
    <row r="185" spans="1:17" x14ac:dyDescent="0.25">
      <c r="A185" s="1">
        <v>43425</v>
      </c>
      <c r="B185" s="2" t="s">
        <v>3694</v>
      </c>
      <c r="C185" s="2" t="s">
        <v>3695</v>
      </c>
      <c r="D185" s="2">
        <v>25804</v>
      </c>
      <c r="E185" s="2" t="s">
        <v>3696</v>
      </c>
      <c r="F185" s="2" t="s">
        <v>3697</v>
      </c>
      <c r="G185" s="2" t="s">
        <v>3698</v>
      </c>
      <c r="H185" s="2">
        <v>6231428976.5500002</v>
      </c>
      <c r="I185" s="2">
        <v>13750</v>
      </c>
      <c r="J185" s="2">
        <v>21.136536670000002</v>
      </c>
      <c r="K185" s="2" t="s">
        <v>3699</v>
      </c>
      <c r="L185" s="2">
        <v>7483935.16316</v>
      </c>
      <c r="M185" s="2">
        <v>53889</v>
      </c>
      <c r="N185" s="2" t="s">
        <v>3700</v>
      </c>
      <c r="O185" s="2">
        <v>2.24E-4</v>
      </c>
      <c r="P185" s="2">
        <v>18598378</v>
      </c>
      <c r="Q185" s="2">
        <v>550</v>
      </c>
    </row>
    <row r="186" spans="1:17" x14ac:dyDescent="0.25">
      <c r="A186" s="1">
        <v>43424</v>
      </c>
      <c r="B186" s="2" t="s">
        <v>3701</v>
      </c>
      <c r="C186" s="2" t="s">
        <v>3702</v>
      </c>
      <c r="D186" s="2">
        <v>29091</v>
      </c>
      <c r="E186" s="2" t="s">
        <v>3703</v>
      </c>
      <c r="F186" s="2" t="s">
        <v>3704</v>
      </c>
      <c r="G186" s="2" t="s">
        <v>3705</v>
      </c>
      <c r="H186" s="2">
        <v>6238261522.46</v>
      </c>
      <c r="I186" s="2">
        <v>12400</v>
      </c>
      <c r="J186" s="2">
        <v>21.309578770000002</v>
      </c>
      <c r="K186" s="2" t="s">
        <v>3706</v>
      </c>
      <c r="L186" s="2">
        <v>7829749.7099799998</v>
      </c>
      <c r="M186" s="2">
        <v>57909</v>
      </c>
      <c r="N186" s="2" t="s">
        <v>3707</v>
      </c>
      <c r="O186" s="2">
        <v>2.24E-4</v>
      </c>
      <c r="P186" s="2">
        <v>19404249</v>
      </c>
      <c r="Q186" s="2">
        <v>496</v>
      </c>
    </row>
    <row r="187" spans="1:17" x14ac:dyDescent="0.25">
      <c r="A187" s="1">
        <v>43423</v>
      </c>
      <c r="B187" s="2" t="s">
        <v>3708</v>
      </c>
      <c r="C187" s="2" t="s">
        <v>3709</v>
      </c>
      <c r="D187" s="2">
        <v>26482</v>
      </c>
      <c r="E187" s="2" t="s">
        <v>3710</v>
      </c>
      <c r="F187" s="2" t="s">
        <v>3711</v>
      </c>
      <c r="G187" s="2" t="s">
        <v>3712</v>
      </c>
      <c r="H187" s="2">
        <v>6260404993.6300001</v>
      </c>
      <c r="I187" s="2">
        <v>13050</v>
      </c>
      <c r="J187" s="2">
        <v>21.26807981</v>
      </c>
      <c r="K187" s="2" t="s">
        <v>3713</v>
      </c>
      <c r="L187" s="2">
        <v>8000573.7632299997</v>
      </c>
      <c r="M187" s="2">
        <v>54393</v>
      </c>
      <c r="N187" s="2" t="s">
        <v>3714</v>
      </c>
      <c r="O187" s="2">
        <v>2.2499999999999999E-4</v>
      </c>
      <c r="P187" s="2">
        <v>17730711</v>
      </c>
      <c r="Q187" s="2">
        <v>522</v>
      </c>
    </row>
    <row r="188" spans="1:17" x14ac:dyDescent="0.25">
      <c r="A188" s="1">
        <v>43422</v>
      </c>
      <c r="B188" s="2" t="s">
        <v>3715</v>
      </c>
      <c r="C188" s="2" t="s">
        <v>3716</v>
      </c>
      <c r="D188" s="2">
        <v>22302</v>
      </c>
      <c r="E188" s="2" t="s">
        <v>3717</v>
      </c>
      <c r="F188" s="2" t="s">
        <v>3718</v>
      </c>
      <c r="G188" s="2" t="s">
        <v>3719</v>
      </c>
      <c r="H188" s="2">
        <v>6279823084.2799997</v>
      </c>
      <c r="I188" s="2">
        <v>13650</v>
      </c>
      <c r="J188" s="2">
        <v>14.3972713</v>
      </c>
      <c r="K188" s="2" t="s">
        <v>3720</v>
      </c>
      <c r="L188" s="2">
        <v>8000573.7632299997</v>
      </c>
      <c r="M188" s="2">
        <v>50068</v>
      </c>
      <c r="N188" s="2" t="s">
        <v>3721</v>
      </c>
      <c r="O188" s="2">
        <v>2.24E-4</v>
      </c>
      <c r="P188" s="2">
        <v>14000079</v>
      </c>
      <c r="Q188" s="2">
        <v>546</v>
      </c>
    </row>
    <row r="189" spans="1:17" x14ac:dyDescent="0.25">
      <c r="A189" s="1">
        <v>43421</v>
      </c>
      <c r="B189" s="2" t="s">
        <v>3722</v>
      </c>
      <c r="C189" s="2" t="s">
        <v>3723</v>
      </c>
      <c r="D189" s="2">
        <v>23990</v>
      </c>
      <c r="E189" s="2" t="s">
        <v>3724</v>
      </c>
      <c r="F189" s="2" t="s">
        <v>3725</v>
      </c>
      <c r="G189" s="2" t="s">
        <v>3726</v>
      </c>
      <c r="H189" s="2">
        <v>6281832780.3900003</v>
      </c>
      <c r="I189" s="2">
        <v>14325</v>
      </c>
      <c r="J189" s="2">
        <v>15.55200142</v>
      </c>
      <c r="K189" s="2" t="s">
        <v>3727</v>
      </c>
      <c r="L189" s="2">
        <v>8000573.7632299997</v>
      </c>
      <c r="M189" s="2">
        <v>50529</v>
      </c>
      <c r="N189" s="2" t="s">
        <v>3728</v>
      </c>
      <c r="O189" s="2">
        <v>2.1854E-4</v>
      </c>
      <c r="P189" s="2">
        <v>14783553</v>
      </c>
      <c r="Q189" s="2">
        <v>573</v>
      </c>
    </row>
    <row r="190" spans="1:17" x14ac:dyDescent="0.25">
      <c r="A190" s="1">
        <v>43420</v>
      </c>
      <c r="B190" s="2" t="s">
        <v>3729</v>
      </c>
      <c r="C190" s="2" t="s">
        <v>3730</v>
      </c>
      <c r="D190" s="2">
        <v>24970</v>
      </c>
      <c r="E190" s="2" t="s">
        <v>3731</v>
      </c>
      <c r="F190" s="2" t="s">
        <v>3732</v>
      </c>
      <c r="G190" s="2" t="s">
        <v>3733</v>
      </c>
      <c r="H190" s="2">
        <v>6287627510.9799995</v>
      </c>
      <c r="I190" s="2">
        <v>14525</v>
      </c>
      <c r="J190" s="2">
        <v>16.614084160000001</v>
      </c>
      <c r="K190" s="2" t="s">
        <v>3734</v>
      </c>
      <c r="L190" s="2">
        <v>8063420.3459799998</v>
      </c>
      <c r="M190" s="2">
        <v>53373</v>
      </c>
      <c r="N190" s="2" t="s">
        <v>3735</v>
      </c>
      <c r="O190" s="2">
        <v>2.24E-4</v>
      </c>
      <c r="P190" s="2">
        <v>15519636</v>
      </c>
      <c r="Q190" s="2">
        <v>581</v>
      </c>
    </row>
    <row r="191" spans="1:17" x14ac:dyDescent="0.25">
      <c r="A191" s="1">
        <v>43419</v>
      </c>
      <c r="B191" s="2" t="s">
        <v>3736</v>
      </c>
      <c r="C191" s="2" t="s">
        <v>3737</v>
      </c>
      <c r="D191" s="2">
        <v>25736</v>
      </c>
      <c r="E191" s="2" t="s">
        <v>3738</v>
      </c>
      <c r="F191" s="2" t="s">
        <v>3739</v>
      </c>
      <c r="G191" s="2" t="s">
        <v>3740</v>
      </c>
      <c r="H191" s="2">
        <v>6291602835.6499996</v>
      </c>
      <c r="I191" s="2">
        <v>13250</v>
      </c>
      <c r="J191" s="2">
        <v>17.319775109999998</v>
      </c>
      <c r="K191" s="2" t="s">
        <v>3741</v>
      </c>
      <c r="L191" s="2">
        <v>8068443.3999899998</v>
      </c>
      <c r="M191" s="2">
        <v>54621</v>
      </c>
      <c r="N191" s="2" t="s">
        <v>3742</v>
      </c>
      <c r="O191" s="2">
        <v>2.24E-4</v>
      </c>
      <c r="P191" s="2">
        <v>16312673</v>
      </c>
      <c r="Q191" s="2">
        <v>530</v>
      </c>
    </row>
    <row r="192" spans="1:17" x14ac:dyDescent="0.25">
      <c r="A192" s="1">
        <v>43418</v>
      </c>
      <c r="B192" s="2" t="s">
        <v>3743</v>
      </c>
      <c r="C192" s="2" t="s">
        <v>3744</v>
      </c>
      <c r="D192" s="2">
        <v>27472</v>
      </c>
      <c r="E192" s="2" t="s">
        <v>3745</v>
      </c>
      <c r="F192" s="2" t="s">
        <v>3746</v>
      </c>
      <c r="G192" s="2" t="s">
        <v>3747</v>
      </c>
      <c r="H192" s="2">
        <v>6318790539.4799995</v>
      </c>
      <c r="I192" s="2">
        <v>14100</v>
      </c>
      <c r="J192" s="2">
        <v>20.017245039999999</v>
      </c>
      <c r="K192" s="2" t="s">
        <v>3748</v>
      </c>
      <c r="L192" s="2">
        <v>8068443.3999899998</v>
      </c>
      <c r="M192" s="2">
        <v>58724</v>
      </c>
      <c r="N192" s="2" t="s">
        <v>3749</v>
      </c>
      <c r="O192" s="2">
        <v>2.2599999999999999E-4</v>
      </c>
      <c r="P192" s="2">
        <v>18107756</v>
      </c>
      <c r="Q192" s="2">
        <v>564</v>
      </c>
    </row>
    <row r="193" spans="1:17" x14ac:dyDescent="0.25">
      <c r="A193" s="1">
        <v>43417</v>
      </c>
      <c r="B193" s="2" t="s">
        <v>3750</v>
      </c>
      <c r="C193" s="2" t="s">
        <v>3751</v>
      </c>
      <c r="D193" s="2">
        <v>24187</v>
      </c>
      <c r="E193" s="2" t="s">
        <v>3752</v>
      </c>
      <c r="F193" s="2" t="s">
        <v>3753</v>
      </c>
      <c r="G193" s="2" t="s">
        <v>3754</v>
      </c>
      <c r="H193" s="2">
        <v>6327853791.4300003</v>
      </c>
      <c r="I193" s="2">
        <v>15525</v>
      </c>
      <c r="J193" s="2">
        <v>16.351328890000001</v>
      </c>
      <c r="K193" s="2" t="s">
        <v>3755</v>
      </c>
      <c r="L193" s="2">
        <v>8121845.6405699998</v>
      </c>
      <c r="M193" s="2">
        <v>51783</v>
      </c>
      <c r="N193" s="2" t="s">
        <v>3756</v>
      </c>
      <c r="O193" s="2">
        <v>2.24E-4</v>
      </c>
      <c r="P193" s="2">
        <v>16469050</v>
      </c>
      <c r="Q193" s="2">
        <v>621</v>
      </c>
    </row>
    <row r="194" spans="1:17" x14ac:dyDescent="0.25">
      <c r="A194" s="1">
        <v>43416</v>
      </c>
      <c r="B194" s="2" t="s">
        <v>3757</v>
      </c>
      <c r="C194" s="2" t="s">
        <v>3758</v>
      </c>
      <c r="D194" s="2">
        <v>23812</v>
      </c>
      <c r="E194" s="2" t="s">
        <v>3759</v>
      </c>
      <c r="F194" s="2" t="s">
        <v>3760</v>
      </c>
      <c r="G194" s="2" t="s">
        <v>3761</v>
      </c>
      <c r="H194" s="2">
        <v>6332790069.0799999</v>
      </c>
      <c r="I194" s="2">
        <v>13875</v>
      </c>
      <c r="J194" s="2">
        <v>17.68916836</v>
      </c>
      <c r="K194" s="2" t="s">
        <v>3762</v>
      </c>
      <c r="L194" s="2">
        <v>8208370.7898599999</v>
      </c>
      <c r="M194" s="2">
        <v>63249</v>
      </c>
      <c r="N194" s="2" t="s">
        <v>3763</v>
      </c>
      <c r="O194" s="2">
        <v>2.2499999999999999E-4</v>
      </c>
      <c r="P194" s="2">
        <v>25959418</v>
      </c>
      <c r="Q194" s="2">
        <v>555</v>
      </c>
    </row>
    <row r="195" spans="1:17" x14ac:dyDescent="0.25">
      <c r="A195" s="1">
        <v>43415</v>
      </c>
      <c r="B195" s="2" t="s">
        <v>3764</v>
      </c>
      <c r="C195" s="2" t="s">
        <v>3765</v>
      </c>
      <c r="D195" s="2">
        <v>31761</v>
      </c>
      <c r="E195" s="2" t="s">
        <v>3766</v>
      </c>
      <c r="F195" s="2" t="s">
        <v>3767</v>
      </c>
      <c r="G195" s="2" t="s">
        <v>3768</v>
      </c>
      <c r="H195" s="2">
        <v>6334933415.3500004</v>
      </c>
      <c r="I195" s="2">
        <v>14200</v>
      </c>
      <c r="J195" s="2">
        <v>15.46597674</v>
      </c>
      <c r="K195" s="2" t="s">
        <v>3769</v>
      </c>
      <c r="L195" s="2">
        <v>8208370.7898599999</v>
      </c>
      <c r="M195" s="2">
        <v>60604</v>
      </c>
      <c r="N195" s="2" t="s">
        <v>3770</v>
      </c>
      <c r="O195" s="2">
        <v>4.1600000000000002E-5</v>
      </c>
      <c r="P195" s="2">
        <v>19058559</v>
      </c>
      <c r="Q195" s="2">
        <v>568</v>
      </c>
    </row>
    <row r="196" spans="1:17" x14ac:dyDescent="0.25">
      <c r="A196" s="1">
        <v>43414</v>
      </c>
      <c r="B196" s="2" t="s">
        <v>3771</v>
      </c>
      <c r="C196" s="2" t="s">
        <v>3772</v>
      </c>
      <c r="D196" s="2">
        <v>30686</v>
      </c>
      <c r="E196" s="2" t="s">
        <v>3773</v>
      </c>
      <c r="F196" s="2" t="s">
        <v>3774</v>
      </c>
      <c r="G196" s="2" t="s">
        <v>3775</v>
      </c>
      <c r="H196" s="2">
        <v>6336366713.9099998</v>
      </c>
      <c r="I196" s="2">
        <v>14225</v>
      </c>
      <c r="J196" s="2">
        <v>14.69689224</v>
      </c>
      <c r="K196" s="2" t="s">
        <v>3776</v>
      </c>
      <c r="L196" s="2">
        <v>8208370.7898599999</v>
      </c>
      <c r="M196" s="2">
        <v>55701</v>
      </c>
      <c r="N196" s="2" t="s">
        <v>3777</v>
      </c>
      <c r="O196" s="2">
        <v>1.4213E-4</v>
      </c>
      <c r="P196" s="2">
        <v>17059028</v>
      </c>
      <c r="Q196" s="2">
        <v>569</v>
      </c>
    </row>
    <row r="197" spans="1:17" x14ac:dyDescent="0.25">
      <c r="A197" s="1">
        <v>43413</v>
      </c>
      <c r="B197" s="2" t="s">
        <v>3778</v>
      </c>
      <c r="C197" s="2" t="s">
        <v>3779</v>
      </c>
      <c r="D197" s="2">
        <v>24704</v>
      </c>
      <c r="E197" s="2" t="s">
        <v>3780</v>
      </c>
      <c r="F197" s="2" t="s">
        <v>3781</v>
      </c>
      <c r="G197" s="2" t="s">
        <v>3782</v>
      </c>
      <c r="H197" s="2">
        <v>6336680852.4499998</v>
      </c>
      <c r="I197" s="2">
        <v>13700</v>
      </c>
      <c r="J197" s="2">
        <v>16.130503730000001</v>
      </c>
      <c r="K197" s="2" t="s">
        <v>3783</v>
      </c>
      <c r="L197" s="2">
        <v>8327249.9524900001</v>
      </c>
      <c r="M197" s="2">
        <v>52271</v>
      </c>
      <c r="N197" s="2" t="s">
        <v>3784</v>
      </c>
      <c r="O197" s="2">
        <v>2.1238E-4</v>
      </c>
      <c r="P197" s="2">
        <v>16261185</v>
      </c>
      <c r="Q197" s="2">
        <v>548</v>
      </c>
    </row>
    <row r="198" spans="1:17" x14ac:dyDescent="0.25">
      <c r="A198" s="1">
        <v>43412</v>
      </c>
      <c r="B198" s="2" t="s">
        <v>3785</v>
      </c>
      <c r="C198" s="2" t="s">
        <v>3786</v>
      </c>
      <c r="D198" s="2">
        <v>24702</v>
      </c>
      <c r="E198" s="2" t="s">
        <v>3787</v>
      </c>
      <c r="F198" s="2" t="s">
        <v>3788</v>
      </c>
      <c r="G198" s="2" t="s">
        <v>3789</v>
      </c>
      <c r="H198" s="2">
        <v>6337497612.2600002</v>
      </c>
      <c r="I198" s="2">
        <v>14525</v>
      </c>
      <c r="J198" s="2">
        <v>18.589502329999998</v>
      </c>
      <c r="K198" s="2" t="s">
        <v>3790</v>
      </c>
      <c r="L198" s="2">
        <v>8349684.8486900004</v>
      </c>
      <c r="M198" s="2">
        <v>52669</v>
      </c>
      <c r="N198" s="2" t="s">
        <v>3791</v>
      </c>
      <c r="O198" s="2">
        <v>2.24E-4</v>
      </c>
      <c r="P198" s="2">
        <v>16698980</v>
      </c>
      <c r="Q198" s="2">
        <v>581</v>
      </c>
    </row>
    <row r="199" spans="1:17" x14ac:dyDescent="0.25">
      <c r="A199" s="1">
        <v>43411</v>
      </c>
      <c r="B199" s="2" t="s">
        <v>3792</v>
      </c>
      <c r="C199" s="2" t="s">
        <v>3793</v>
      </c>
      <c r="D199" s="2">
        <v>24783</v>
      </c>
      <c r="E199" s="2" t="s">
        <v>3794</v>
      </c>
      <c r="F199" s="2" t="s">
        <v>3795</v>
      </c>
      <c r="G199" s="2" t="s">
        <v>3796</v>
      </c>
      <c r="H199" s="2">
        <v>6339059711.6599998</v>
      </c>
      <c r="I199" s="2">
        <v>14700</v>
      </c>
      <c r="J199" s="2">
        <v>17.70154505</v>
      </c>
      <c r="K199" s="2" t="s">
        <v>3797</v>
      </c>
      <c r="L199" s="2">
        <v>8349684.8486900004</v>
      </c>
      <c r="M199" s="2">
        <v>54179</v>
      </c>
      <c r="N199" s="2" t="s">
        <v>3798</v>
      </c>
      <c r="O199" s="2">
        <v>2.24E-4</v>
      </c>
      <c r="P199" s="2">
        <v>16083035</v>
      </c>
      <c r="Q199" s="2">
        <v>588</v>
      </c>
    </row>
    <row r="200" spans="1:17" x14ac:dyDescent="0.25">
      <c r="A200" s="1">
        <v>43410</v>
      </c>
      <c r="B200" s="2" t="s">
        <v>3799</v>
      </c>
      <c r="C200" s="2" t="s">
        <v>3800</v>
      </c>
      <c r="D200" s="2">
        <v>25287</v>
      </c>
      <c r="E200" s="2" t="s">
        <v>3801</v>
      </c>
      <c r="F200" s="2" t="s">
        <v>3802</v>
      </c>
      <c r="G200" s="2" t="s">
        <v>3803</v>
      </c>
      <c r="H200" s="2">
        <v>6343242718.2399998</v>
      </c>
      <c r="I200" s="2">
        <v>13975</v>
      </c>
      <c r="J200" s="2">
        <v>19.404123340000002</v>
      </c>
      <c r="K200" s="2" t="s">
        <v>3804</v>
      </c>
      <c r="L200" s="2">
        <v>8272857.3193800002</v>
      </c>
      <c r="M200" s="2">
        <v>53580</v>
      </c>
      <c r="N200" s="2" t="s">
        <v>3805</v>
      </c>
      <c r="O200" s="2">
        <v>2.24E-4</v>
      </c>
      <c r="P200" s="2">
        <v>18406459</v>
      </c>
      <c r="Q200" s="2">
        <v>559</v>
      </c>
    </row>
    <row r="201" spans="1:17" x14ac:dyDescent="0.25">
      <c r="A201" s="1">
        <v>43409</v>
      </c>
      <c r="B201" s="2" t="s">
        <v>3806</v>
      </c>
      <c r="C201" s="2" t="s">
        <v>3807</v>
      </c>
      <c r="D201" s="2">
        <v>23722</v>
      </c>
      <c r="E201" s="2" t="s">
        <v>3808</v>
      </c>
      <c r="F201" s="2" t="s">
        <v>3809</v>
      </c>
      <c r="G201" s="2" t="s">
        <v>3810</v>
      </c>
      <c r="H201" s="2">
        <v>6344147625.8000002</v>
      </c>
      <c r="I201" s="2">
        <v>15300</v>
      </c>
      <c r="J201" s="2">
        <v>21.55592893</v>
      </c>
      <c r="K201" s="2" t="s">
        <v>3811</v>
      </c>
      <c r="L201" s="2">
        <v>8101438.6701600002</v>
      </c>
      <c r="M201" s="2">
        <v>52952</v>
      </c>
      <c r="N201" s="2" t="s">
        <v>3812</v>
      </c>
      <c r="O201" s="2">
        <v>2.2599999999999999E-4</v>
      </c>
      <c r="P201" s="2">
        <v>20320246</v>
      </c>
      <c r="Q201" s="2">
        <v>612</v>
      </c>
    </row>
    <row r="202" spans="1:17" x14ac:dyDescent="0.25">
      <c r="A202" s="1">
        <v>43408</v>
      </c>
      <c r="B202" s="2" t="s">
        <v>3813</v>
      </c>
      <c r="C202" s="2" t="s">
        <v>3814</v>
      </c>
      <c r="D202" s="2">
        <v>23125</v>
      </c>
      <c r="E202" s="2" t="s">
        <v>3815</v>
      </c>
      <c r="F202" s="2" t="s">
        <v>3816</v>
      </c>
      <c r="G202" s="2" t="s">
        <v>3817</v>
      </c>
      <c r="H202" s="2">
        <v>6346382196.6099997</v>
      </c>
      <c r="I202" s="2">
        <v>15075</v>
      </c>
      <c r="J202" s="2">
        <v>19.36539359</v>
      </c>
      <c r="K202" s="2" t="s">
        <v>3818</v>
      </c>
      <c r="L202" s="2">
        <v>8101438.6701600002</v>
      </c>
      <c r="M202" s="2">
        <v>53163</v>
      </c>
      <c r="N202" s="2" t="s">
        <v>3819</v>
      </c>
      <c r="O202" s="2">
        <v>2.2599999999999999E-4</v>
      </c>
      <c r="P202" s="2">
        <v>16569921</v>
      </c>
      <c r="Q202" s="2">
        <v>603</v>
      </c>
    </row>
    <row r="203" spans="1:17" x14ac:dyDescent="0.25">
      <c r="A203" s="1">
        <v>43407</v>
      </c>
      <c r="B203" s="2" t="s">
        <v>3820</v>
      </c>
      <c r="C203" s="2" t="s">
        <v>3821</v>
      </c>
      <c r="D203" s="2">
        <v>22635</v>
      </c>
      <c r="E203" s="2" t="s">
        <v>3822</v>
      </c>
      <c r="F203" s="2" t="s">
        <v>3823</v>
      </c>
      <c r="G203" s="2" t="s">
        <v>3824</v>
      </c>
      <c r="H203" s="2">
        <v>6346250484.9899998</v>
      </c>
      <c r="I203" s="2">
        <v>13875</v>
      </c>
      <c r="J203" s="2">
        <v>14.80973792</v>
      </c>
      <c r="K203" s="2" t="s">
        <v>3825</v>
      </c>
      <c r="L203" s="2">
        <v>8101438.6701600002</v>
      </c>
      <c r="M203" s="2">
        <v>48718</v>
      </c>
      <c r="N203" s="2" t="s">
        <v>3826</v>
      </c>
      <c r="O203" s="2">
        <v>2.24E-4</v>
      </c>
      <c r="P203" s="2">
        <v>14790502</v>
      </c>
      <c r="Q203" s="2">
        <v>555</v>
      </c>
    </row>
    <row r="204" spans="1:17" x14ac:dyDescent="0.25">
      <c r="A204" s="1">
        <v>43406</v>
      </c>
      <c r="B204" s="2" t="s">
        <v>3827</v>
      </c>
      <c r="C204" s="2" t="s">
        <v>3828</v>
      </c>
      <c r="D204" s="2">
        <v>25610</v>
      </c>
      <c r="E204" s="2" t="s">
        <v>3829</v>
      </c>
      <c r="F204" s="2" t="s">
        <v>3830</v>
      </c>
      <c r="G204" s="2" t="s">
        <v>3831</v>
      </c>
      <c r="H204" s="2">
        <v>6347068369.54</v>
      </c>
      <c r="I204" s="2">
        <v>13900</v>
      </c>
      <c r="J204" s="2">
        <v>16.516256609999999</v>
      </c>
      <c r="K204" s="2" t="s">
        <v>3832</v>
      </c>
      <c r="L204" s="2">
        <v>8357637.6838499997</v>
      </c>
      <c r="M204" s="2">
        <v>57480</v>
      </c>
      <c r="N204" s="2" t="s">
        <v>3833</v>
      </c>
      <c r="O204" s="2">
        <v>2.24E-4</v>
      </c>
      <c r="P204" s="2">
        <v>16613079</v>
      </c>
      <c r="Q204" s="2">
        <v>556</v>
      </c>
    </row>
    <row r="205" spans="1:17" x14ac:dyDescent="0.25">
      <c r="A205" s="1">
        <v>43405</v>
      </c>
      <c r="B205" s="2" t="s">
        <v>3834</v>
      </c>
      <c r="C205" s="2" t="s">
        <v>3835</v>
      </c>
      <c r="D205" s="2">
        <v>23545</v>
      </c>
      <c r="E205" s="2" t="s">
        <v>3836</v>
      </c>
      <c r="F205" s="2" t="s">
        <v>3837</v>
      </c>
      <c r="G205" s="2" t="s">
        <v>3838</v>
      </c>
      <c r="H205" s="2">
        <v>6347483366.8100004</v>
      </c>
      <c r="I205" s="2">
        <v>13725</v>
      </c>
      <c r="J205" s="2">
        <v>16.569534130000001</v>
      </c>
      <c r="K205" s="2" t="s">
        <v>3839</v>
      </c>
      <c r="L205" s="2">
        <v>8396359.2739199996</v>
      </c>
      <c r="M205" s="2">
        <v>56430</v>
      </c>
      <c r="N205" s="2" t="s">
        <v>3840</v>
      </c>
      <c r="O205" s="2">
        <v>2.2599999999999999E-4</v>
      </c>
      <c r="P205" s="2">
        <v>18923187</v>
      </c>
      <c r="Q205" s="2">
        <v>549</v>
      </c>
    </row>
    <row r="206" spans="1:17" x14ac:dyDescent="0.25">
      <c r="A206" s="1">
        <v>43404</v>
      </c>
      <c r="B206" s="2" t="s">
        <v>3841</v>
      </c>
      <c r="C206" s="2" t="s">
        <v>3842</v>
      </c>
      <c r="D206" s="2">
        <v>24488</v>
      </c>
      <c r="E206" s="2" t="s">
        <v>3843</v>
      </c>
      <c r="F206" s="2" t="s">
        <v>3844</v>
      </c>
      <c r="G206" s="2" t="s">
        <v>3845</v>
      </c>
      <c r="H206" s="2">
        <v>6348802047.3599997</v>
      </c>
      <c r="I206" s="2">
        <v>14425</v>
      </c>
      <c r="J206" s="2">
        <v>18.254521610000001</v>
      </c>
      <c r="K206" s="2" t="s">
        <v>3846</v>
      </c>
      <c r="L206" s="2">
        <v>8396359.2739199996</v>
      </c>
      <c r="M206" s="2">
        <v>59048</v>
      </c>
      <c r="N206" s="2" t="s">
        <v>3847</v>
      </c>
      <c r="O206" s="2">
        <v>2.24E-4</v>
      </c>
      <c r="P206" s="2">
        <v>16838965</v>
      </c>
      <c r="Q206" s="2">
        <v>577</v>
      </c>
    </row>
    <row r="207" spans="1:17" x14ac:dyDescent="0.25">
      <c r="A207" s="1">
        <v>43403</v>
      </c>
      <c r="B207" s="2" t="s">
        <v>3848</v>
      </c>
      <c r="C207" s="2" t="s">
        <v>3849</v>
      </c>
      <c r="D207" s="2">
        <v>25187</v>
      </c>
      <c r="E207" s="2" t="s">
        <v>3850</v>
      </c>
      <c r="F207" s="2" t="s">
        <v>3851</v>
      </c>
      <c r="G207" s="2" t="s">
        <v>3852</v>
      </c>
      <c r="H207" s="2">
        <v>6349696947.4700003</v>
      </c>
      <c r="I207" s="2">
        <v>13975</v>
      </c>
      <c r="J207" s="2">
        <v>17.443124569999998</v>
      </c>
      <c r="K207" s="2" t="s">
        <v>3853</v>
      </c>
      <c r="L207" s="2">
        <v>8339558.3244500002</v>
      </c>
      <c r="M207" s="2">
        <v>53915</v>
      </c>
      <c r="N207" s="2" t="s">
        <v>3854</v>
      </c>
      <c r="O207" s="2">
        <v>2.1944E-4</v>
      </c>
      <c r="P207" s="2">
        <v>16987392</v>
      </c>
      <c r="Q207" s="2">
        <v>559</v>
      </c>
    </row>
    <row r="208" spans="1:17" x14ac:dyDescent="0.25">
      <c r="A208" s="1">
        <v>43402</v>
      </c>
      <c r="B208" s="2" t="s">
        <v>3855</v>
      </c>
      <c r="C208" s="2" t="s">
        <v>3856</v>
      </c>
      <c r="D208" s="2">
        <v>23862</v>
      </c>
      <c r="E208" s="2" t="s">
        <v>3857</v>
      </c>
      <c r="F208" s="2" t="s">
        <v>3858</v>
      </c>
      <c r="G208" s="2" t="s">
        <v>3859</v>
      </c>
      <c r="H208" s="2">
        <v>6360374178.3400002</v>
      </c>
      <c r="I208" s="2">
        <v>14400</v>
      </c>
      <c r="J208" s="2">
        <v>17.680791159999998</v>
      </c>
      <c r="K208" s="2" t="s">
        <v>3860</v>
      </c>
      <c r="L208" s="2">
        <v>8187466.3084399998</v>
      </c>
      <c r="M208" s="2">
        <v>53128</v>
      </c>
      <c r="N208" s="2" t="s">
        <v>3861</v>
      </c>
      <c r="O208" s="2">
        <v>2.2599999999999999E-4</v>
      </c>
      <c r="P208" s="2">
        <v>16568458</v>
      </c>
      <c r="Q208" s="2">
        <v>576</v>
      </c>
    </row>
    <row r="209" spans="1:17" x14ac:dyDescent="0.25">
      <c r="A209" s="1">
        <v>43401</v>
      </c>
      <c r="B209" s="2" t="s">
        <v>3862</v>
      </c>
      <c r="C209" s="2" t="s">
        <v>3863</v>
      </c>
      <c r="D209" s="2">
        <v>20398</v>
      </c>
      <c r="E209" s="2" t="s">
        <v>3864</v>
      </c>
      <c r="F209" s="2" t="s">
        <v>3865</v>
      </c>
      <c r="G209" s="2" t="s">
        <v>3866</v>
      </c>
      <c r="H209" s="2">
        <v>6365196132.04</v>
      </c>
      <c r="I209" s="2">
        <v>15450</v>
      </c>
      <c r="J209" s="2">
        <v>15.472118630000001</v>
      </c>
      <c r="K209" s="2" t="s">
        <v>3867</v>
      </c>
      <c r="L209" s="2">
        <v>8187466.3084399998</v>
      </c>
      <c r="M209" s="2">
        <v>49927</v>
      </c>
      <c r="N209" s="2" t="s">
        <v>3868</v>
      </c>
      <c r="O209" s="2">
        <v>2.2499999999999999E-4</v>
      </c>
      <c r="P209" s="2">
        <v>14147435</v>
      </c>
      <c r="Q209" s="2">
        <v>618</v>
      </c>
    </row>
    <row r="210" spans="1:17" x14ac:dyDescent="0.25">
      <c r="A210" s="1">
        <v>43400</v>
      </c>
      <c r="B210" s="2" t="s">
        <v>3869</v>
      </c>
      <c r="C210" s="2" t="s">
        <v>3870</v>
      </c>
      <c r="D210" s="2">
        <v>21412</v>
      </c>
      <c r="E210" s="2" t="s">
        <v>3871</v>
      </c>
      <c r="F210" s="2" t="s">
        <v>3872</v>
      </c>
      <c r="G210" s="2" t="s">
        <v>3873</v>
      </c>
      <c r="H210" s="2">
        <v>6366045354.3100004</v>
      </c>
      <c r="I210" s="2">
        <v>14550</v>
      </c>
      <c r="J210" s="2">
        <v>15.073207249999999</v>
      </c>
      <c r="K210" s="2" t="s">
        <v>3874</v>
      </c>
      <c r="L210" s="2">
        <v>8187466.3084399998</v>
      </c>
      <c r="M210" s="2">
        <v>49623</v>
      </c>
      <c r="N210" s="2" t="s">
        <v>3875</v>
      </c>
      <c r="O210" s="2">
        <v>2.24E-4</v>
      </c>
      <c r="P210" s="2">
        <v>14070335</v>
      </c>
      <c r="Q210" s="2">
        <v>582</v>
      </c>
    </row>
    <row r="211" spans="1:17" x14ac:dyDescent="0.25">
      <c r="A211" s="1">
        <v>43399</v>
      </c>
      <c r="B211" s="2" t="s">
        <v>3876</v>
      </c>
      <c r="C211" s="2" t="s">
        <v>3877</v>
      </c>
      <c r="D211" s="2">
        <v>25836</v>
      </c>
      <c r="E211" s="2" t="s">
        <v>3878</v>
      </c>
      <c r="F211" s="2" t="s">
        <v>3879</v>
      </c>
      <c r="G211" s="2" t="s">
        <v>3880</v>
      </c>
      <c r="H211" s="2">
        <v>6366889464.7200003</v>
      </c>
      <c r="I211" s="2">
        <v>12350</v>
      </c>
      <c r="J211" s="2">
        <v>16.459619409999998</v>
      </c>
      <c r="K211" s="2" t="s">
        <v>3881</v>
      </c>
      <c r="L211" s="2">
        <v>8623422.9541900009</v>
      </c>
      <c r="M211" s="2">
        <v>55320</v>
      </c>
      <c r="N211" s="2" t="s">
        <v>3882</v>
      </c>
      <c r="O211" s="2">
        <v>2.23E-4</v>
      </c>
      <c r="P211" s="2">
        <v>19270617</v>
      </c>
      <c r="Q211" s="2">
        <v>494</v>
      </c>
    </row>
    <row r="212" spans="1:17" x14ac:dyDescent="0.25">
      <c r="A212" s="1">
        <v>43398</v>
      </c>
      <c r="B212" s="2" t="s">
        <v>3883</v>
      </c>
      <c r="C212" s="2" t="s">
        <v>3884</v>
      </c>
      <c r="D212" s="2">
        <v>23596</v>
      </c>
      <c r="E212" s="2" t="s">
        <v>3885</v>
      </c>
      <c r="F212" s="2" t="s">
        <v>3886</v>
      </c>
      <c r="G212" s="2" t="s">
        <v>3887</v>
      </c>
      <c r="H212" s="2">
        <v>6369258564.9399996</v>
      </c>
      <c r="I212" s="2">
        <v>13875</v>
      </c>
      <c r="J212" s="2">
        <v>17.94888469</v>
      </c>
      <c r="K212" s="2" t="s">
        <v>3888</v>
      </c>
      <c r="L212" s="2">
        <v>8717916.0202699993</v>
      </c>
      <c r="M212" s="2">
        <v>51290</v>
      </c>
      <c r="N212" s="2" t="s">
        <v>3889</v>
      </c>
      <c r="O212" s="2">
        <v>2.2599999999999999E-4</v>
      </c>
      <c r="P212" s="2">
        <v>25200820</v>
      </c>
      <c r="Q212" s="2">
        <v>555</v>
      </c>
    </row>
    <row r="213" spans="1:17" x14ac:dyDescent="0.25">
      <c r="A213" s="1">
        <v>43397</v>
      </c>
      <c r="B213" s="2" t="s">
        <v>3890</v>
      </c>
      <c r="C213" s="2" t="s">
        <v>3891</v>
      </c>
      <c r="D213" s="2">
        <v>23624</v>
      </c>
      <c r="E213" s="2" t="s">
        <v>3892</v>
      </c>
      <c r="F213" s="2" t="s">
        <v>3893</v>
      </c>
      <c r="G213" s="2" t="s">
        <v>3894</v>
      </c>
      <c r="H213" s="2">
        <v>6373514609.4700003</v>
      </c>
      <c r="I213" s="2">
        <v>13800</v>
      </c>
      <c r="J213" s="2">
        <v>18.798126280000002</v>
      </c>
      <c r="K213" s="2" t="s">
        <v>3895</v>
      </c>
      <c r="L213" s="2">
        <v>8717916.0202699993</v>
      </c>
      <c r="M213" s="2">
        <v>53535</v>
      </c>
      <c r="N213" s="2" t="s">
        <v>3896</v>
      </c>
      <c r="O213" s="2">
        <v>2.24E-4</v>
      </c>
      <c r="P213" s="2">
        <v>25023180</v>
      </c>
      <c r="Q213" s="2">
        <v>552</v>
      </c>
    </row>
    <row r="214" spans="1:17" x14ac:dyDescent="0.25">
      <c r="A214" s="1">
        <v>43396</v>
      </c>
      <c r="B214" s="2" t="s">
        <v>3897</v>
      </c>
      <c r="C214" s="2" t="s">
        <v>3898</v>
      </c>
      <c r="D214" s="2">
        <v>24759</v>
      </c>
      <c r="E214" s="2" t="s">
        <v>3899</v>
      </c>
      <c r="F214" s="2" t="s">
        <v>3900</v>
      </c>
      <c r="G214" s="2" t="s">
        <v>3901</v>
      </c>
      <c r="H214" s="2">
        <v>6374652666.6400003</v>
      </c>
      <c r="I214" s="2">
        <v>14450</v>
      </c>
      <c r="J214" s="2">
        <v>23.205962199999998</v>
      </c>
      <c r="K214" s="2" t="s">
        <v>3902</v>
      </c>
      <c r="L214" s="2">
        <v>8739506.1984400004</v>
      </c>
      <c r="M214" s="2">
        <v>54858</v>
      </c>
      <c r="N214" s="2" t="s">
        <v>3903</v>
      </c>
      <c r="O214" s="2">
        <v>2.22E-4</v>
      </c>
      <c r="P214" s="2">
        <v>25302413</v>
      </c>
      <c r="Q214" s="2">
        <v>578</v>
      </c>
    </row>
    <row r="215" spans="1:17" x14ac:dyDescent="0.25">
      <c r="A215" s="1">
        <v>43395</v>
      </c>
      <c r="B215" s="2" t="s">
        <v>3904</v>
      </c>
      <c r="C215" s="2" t="s">
        <v>3905</v>
      </c>
      <c r="D215" s="2">
        <v>23686</v>
      </c>
      <c r="E215" s="2" t="s">
        <v>3906</v>
      </c>
      <c r="F215" s="2" t="s">
        <v>3907</v>
      </c>
      <c r="G215" s="2" t="s">
        <v>3908</v>
      </c>
      <c r="H215" s="2">
        <v>6379261148.3299999</v>
      </c>
      <c r="I215" s="2">
        <v>14450</v>
      </c>
      <c r="J215" s="2">
        <v>18.942787370000001</v>
      </c>
      <c r="K215" s="2" t="s">
        <v>3909</v>
      </c>
      <c r="L215" s="2">
        <v>8884304.3267000001</v>
      </c>
      <c r="M215" s="2">
        <v>53179</v>
      </c>
      <c r="N215" s="2" t="s">
        <v>3910</v>
      </c>
      <c r="O215" s="2">
        <v>2.2599999999999999E-4</v>
      </c>
      <c r="P215" s="2">
        <v>22519344</v>
      </c>
      <c r="Q215" s="2">
        <v>578</v>
      </c>
    </row>
    <row r="216" spans="1:17" x14ac:dyDescent="0.25">
      <c r="A216" s="1">
        <v>43394</v>
      </c>
      <c r="B216" s="2" t="s">
        <v>3911</v>
      </c>
      <c r="C216" s="2" t="s">
        <v>3912</v>
      </c>
      <c r="D216" s="2">
        <v>21166</v>
      </c>
      <c r="E216" s="2" t="s">
        <v>3913</v>
      </c>
      <c r="F216" s="2" t="s">
        <v>3914</v>
      </c>
      <c r="G216" s="2" t="s">
        <v>3915</v>
      </c>
      <c r="H216" s="2">
        <v>6380355986.4399996</v>
      </c>
      <c r="I216" s="2">
        <v>14025</v>
      </c>
      <c r="J216" s="2">
        <v>15.43149807</v>
      </c>
      <c r="K216" s="2" t="s">
        <v>3916</v>
      </c>
      <c r="L216" s="2">
        <v>8884304.3267000001</v>
      </c>
      <c r="M216" s="2">
        <v>50209</v>
      </c>
      <c r="N216" s="2" t="s">
        <v>3917</v>
      </c>
      <c r="O216" s="2">
        <v>2.24E-4</v>
      </c>
      <c r="P216" s="2">
        <v>15536988</v>
      </c>
      <c r="Q216" s="2">
        <v>561</v>
      </c>
    </row>
    <row r="217" spans="1:17" x14ac:dyDescent="0.25">
      <c r="A217" s="1">
        <v>43393</v>
      </c>
      <c r="B217" s="2" t="s">
        <v>3918</v>
      </c>
      <c r="C217" s="2" t="s">
        <v>3919</v>
      </c>
      <c r="D217" s="2">
        <v>25055</v>
      </c>
      <c r="E217" s="2" t="s">
        <v>3920</v>
      </c>
      <c r="F217" s="2" t="s">
        <v>3921</v>
      </c>
      <c r="G217" s="2" t="s">
        <v>3922</v>
      </c>
      <c r="H217" s="2">
        <v>6380914855.5100002</v>
      </c>
      <c r="I217" s="2">
        <v>14025</v>
      </c>
      <c r="J217" s="2">
        <v>18.159038089999999</v>
      </c>
      <c r="K217" s="2" t="s">
        <v>3923</v>
      </c>
      <c r="L217" s="2">
        <v>8884304.3267000001</v>
      </c>
      <c r="M217" s="2">
        <v>50084</v>
      </c>
      <c r="N217" s="2" t="s">
        <v>3924</v>
      </c>
      <c r="O217" s="2">
        <v>2.2599999999999999E-4</v>
      </c>
      <c r="P217" s="2">
        <v>70190201</v>
      </c>
      <c r="Q217" s="2">
        <v>561</v>
      </c>
    </row>
    <row r="218" spans="1:17" x14ac:dyDescent="0.25">
      <c r="A218" s="1">
        <v>43392</v>
      </c>
      <c r="B218" s="2" t="s">
        <v>3925</v>
      </c>
      <c r="C218" s="2" t="s">
        <v>3926</v>
      </c>
      <c r="D218" s="2">
        <v>26501</v>
      </c>
      <c r="E218" s="2" t="s">
        <v>3927</v>
      </c>
      <c r="F218" s="2" t="s">
        <v>3928</v>
      </c>
      <c r="G218" s="2" t="s">
        <v>3929</v>
      </c>
      <c r="H218" s="2">
        <v>6391355180.5900002</v>
      </c>
      <c r="I218" s="2">
        <v>12875</v>
      </c>
      <c r="J218" s="2">
        <v>29.247241509999998</v>
      </c>
      <c r="K218" s="2" t="s">
        <v>3930</v>
      </c>
      <c r="L218" s="2">
        <v>8974885.3345800005</v>
      </c>
      <c r="M218" s="2">
        <v>61193</v>
      </c>
      <c r="N218" s="2" t="s">
        <v>3931</v>
      </c>
      <c r="O218" s="2">
        <v>2.24E-4</v>
      </c>
      <c r="P218" s="2">
        <v>32668866</v>
      </c>
      <c r="Q218" s="2">
        <v>515</v>
      </c>
    </row>
    <row r="219" spans="1:17" x14ac:dyDescent="0.25">
      <c r="A219" s="1">
        <v>43391</v>
      </c>
      <c r="B219" s="2" t="s">
        <v>3932</v>
      </c>
      <c r="C219" s="2" t="s">
        <v>3933</v>
      </c>
      <c r="D219" s="2">
        <v>28438</v>
      </c>
      <c r="E219" s="2" t="s">
        <v>3934</v>
      </c>
      <c r="F219" s="2" t="s">
        <v>3935</v>
      </c>
      <c r="G219" s="2" t="s">
        <v>3936</v>
      </c>
      <c r="H219" s="2">
        <v>6392191432.8100004</v>
      </c>
      <c r="I219" s="2">
        <v>15350</v>
      </c>
      <c r="J219" s="2">
        <v>56.363616370000003</v>
      </c>
      <c r="K219" s="2" t="s">
        <v>3937</v>
      </c>
      <c r="L219" s="2">
        <v>9054556.9509999994</v>
      </c>
      <c r="M219" s="2">
        <v>48119</v>
      </c>
      <c r="N219" s="2" t="s">
        <v>3938</v>
      </c>
      <c r="O219" s="2">
        <v>2.2599999999999999E-4</v>
      </c>
      <c r="P219" s="2">
        <v>64087738</v>
      </c>
      <c r="Q219" s="2">
        <v>614</v>
      </c>
    </row>
    <row r="220" spans="1:17" x14ac:dyDescent="0.25">
      <c r="A220" s="1">
        <v>43390</v>
      </c>
      <c r="B220" s="2" t="s">
        <v>3939</v>
      </c>
      <c r="C220" s="2" t="s">
        <v>3940</v>
      </c>
      <c r="D220" s="2">
        <v>27262</v>
      </c>
      <c r="E220" s="2" t="s">
        <v>3941</v>
      </c>
      <c r="F220" s="2" t="s">
        <v>3942</v>
      </c>
      <c r="G220" s="2" t="s">
        <v>3943</v>
      </c>
      <c r="H220" s="2">
        <v>6395804854.5100002</v>
      </c>
      <c r="I220" s="2">
        <v>13675</v>
      </c>
      <c r="J220" s="2">
        <v>43.81337147</v>
      </c>
      <c r="K220" s="2" t="s">
        <v>3944</v>
      </c>
      <c r="L220" s="2">
        <v>9054556.9509999994</v>
      </c>
      <c r="M220" s="2">
        <v>55481</v>
      </c>
      <c r="N220" s="2" t="s">
        <v>3945</v>
      </c>
      <c r="O220" s="2">
        <v>2.2599999999999999E-4</v>
      </c>
      <c r="P220" s="2">
        <v>48432545</v>
      </c>
      <c r="Q220" s="2">
        <v>547</v>
      </c>
    </row>
    <row r="221" spans="1:17" x14ac:dyDescent="0.25">
      <c r="A221" s="1">
        <v>43389</v>
      </c>
      <c r="B221" s="2" t="s">
        <v>3946</v>
      </c>
      <c r="C221" s="2" t="s">
        <v>3947</v>
      </c>
      <c r="D221" s="2">
        <v>26416</v>
      </c>
      <c r="E221" s="2" t="s">
        <v>3948</v>
      </c>
      <c r="F221" s="2" t="s">
        <v>3949</v>
      </c>
      <c r="G221" s="2" t="s">
        <v>3950</v>
      </c>
      <c r="H221" s="2">
        <v>6400003527.6199999</v>
      </c>
      <c r="I221" s="2">
        <v>14375</v>
      </c>
      <c r="J221" s="2">
        <v>30.066662749999999</v>
      </c>
      <c r="K221" s="2" t="s">
        <v>3951</v>
      </c>
      <c r="L221" s="2">
        <v>9054556.9509999994</v>
      </c>
      <c r="M221" s="2">
        <v>56404</v>
      </c>
      <c r="N221" s="2" t="s">
        <v>3952</v>
      </c>
      <c r="O221" s="2">
        <v>2.23E-4</v>
      </c>
      <c r="P221" s="2">
        <v>23960230</v>
      </c>
      <c r="Q221" s="2">
        <v>575</v>
      </c>
    </row>
    <row r="222" spans="1:17" x14ac:dyDescent="0.25">
      <c r="A222" s="1">
        <v>43388</v>
      </c>
      <c r="B222" s="2" t="s">
        <v>3953</v>
      </c>
      <c r="C222" s="2" t="s">
        <v>3954</v>
      </c>
      <c r="D222" s="2">
        <v>25061</v>
      </c>
      <c r="E222" s="2" t="s">
        <v>3955</v>
      </c>
      <c r="F222" s="2" t="s">
        <v>3956</v>
      </c>
      <c r="G222" s="2" t="s">
        <v>3957</v>
      </c>
      <c r="H222" s="2">
        <v>6403656919.25</v>
      </c>
      <c r="I222" s="2">
        <v>14875</v>
      </c>
      <c r="J222" s="2">
        <v>22.90184769</v>
      </c>
      <c r="K222" s="2" t="s">
        <v>3958</v>
      </c>
      <c r="L222" s="2">
        <v>8860229.5843199994</v>
      </c>
      <c r="M222" s="2">
        <v>56570</v>
      </c>
      <c r="N222" s="2" t="s">
        <v>3959</v>
      </c>
      <c r="O222" s="2">
        <v>2.2599999999999999E-4</v>
      </c>
      <c r="P222" s="2">
        <v>15432883</v>
      </c>
      <c r="Q222" s="2">
        <v>595</v>
      </c>
    </row>
    <row r="223" spans="1:17" x14ac:dyDescent="0.25">
      <c r="A223" s="1">
        <v>43387</v>
      </c>
      <c r="B223" s="2" t="s">
        <v>3960</v>
      </c>
      <c r="C223" s="2" t="s">
        <v>3961</v>
      </c>
      <c r="D223" s="2">
        <v>20822</v>
      </c>
      <c r="E223" s="2" t="s">
        <v>3962</v>
      </c>
      <c r="F223" s="2" t="s">
        <v>3963</v>
      </c>
      <c r="G223" s="2" t="s">
        <v>3964</v>
      </c>
      <c r="H223" s="2">
        <v>6406578639.4099998</v>
      </c>
      <c r="I223" s="2">
        <v>15125</v>
      </c>
      <c r="J223" s="2">
        <v>16.336833550000001</v>
      </c>
      <c r="K223" s="2" t="s">
        <v>3965</v>
      </c>
      <c r="L223" s="2">
        <v>8858250.0186100006</v>
      </c>
      <c r="M223" s="2">
        <v>50723</v>
      </c>
      <c r="N223" s="2" t="s">
        <v>3966</v>
      </c>
      <c r="O223" s="2">
        <v>2.23E-4</v>
      </c>
      <c r="P223" s="2">
        <v>11470516</v>
      </c>
      <c r="Q223" s="2">
        <v>605</v>
      </c>
    </row>
    <row r="224" spans="1:17" x14ac:dyDescent="0.25">
      <c r="A224" s="1">
        <v>43386</v>
      </c>
      <c r="B224" s="2" t="s">
        <v>3967</v>
      </c>
      <c r="C224" s="2" t="s">
        <v>3968</v>
      </c>
      <c r="D224" s="2">
        <v>23406</v>
      </c>
      <c r="E224" s="2" t="s">
        <v>3969</v>
      </c>
      <c r="F224" s="2" t="s">
        <v>3970</v>
      </c>
      <c r="G224" s="2" t="s">
        <v>3971</v>
      </c>
      <c r="H224" s="2">
        <v>6409121541.3199997</v>
      </c>
      <c r="I224" s="2">
        <v>13900</v>
      </c>
      <c r="J224" s="2">
        <v>17.807336060000001</v>
      </c>
      <c r="K224" s="2" t="s">
        <v>3972</v>
      </c>
      <c r="L224" s="2">
        <v>8858250.0186100006</v>
      </c>
      <c r="M224" s="2">
        <v>52591</v>
      </c>
      <c r="N224" s="2" t="s">
        <v>3973</v>
      </c>
      <c r="O224" s="2">
        <v>1.9000000000000001E-4</v>
      </c>
      <c r="P224" s="2">
        <v>13233690</v>
      </c>
      <c r="Q224" s="2">
        <v>556</v>
      </c>
    </row>
    <row r="225" spans="1:17" x14ac:dyDescent="0.25">
      <c r="A225" s="1">
        <v>43385</v>
      </c>
      <c r="B225" s="2" t="s">
        <v>3974</v>
      </c>
      <c r="C225" s="2" t="s">
        <v>3975</v>
      </c>
      <c r="D225" s="2">
        <v>24858</v>
      </c>
      <c r="E225" s="2" t="s">
        <v>3976</v>
      </c>
      <c r="F225" s="2" t="s">
        <v>3977</v>
      </c>
      <c r="G225" s="2" t="s">
        <v>3978</v>
      </c>
      <c r="H225" s="2">
        <v>6410576163.6999998</v>
      </c>
      <c r="I225" s="2">
        <v>14850</v>
      </c>
      <c r="J225" s="2">
        <v>19.443897060000001</v>
      </c>
      <c r="K225" s="2" t="s">
        <v>3979</v>
      </c>
      <c r="L225" s="2">
        <v>8925324.2359599993</v>
      </c>
      <c r="M225" s="2">
        <v>54828</v>
      </c>
      <c r="N225" s="2" t="s">
        <v>3980</v>
      </c>
      <c r="O225" s="2">
        <v>2.24E-4</v>
      </c>
      <c r="P225" s="2">
        <v>14601500</v>
      </c>
      <c r="Q225" s="2">
        <v>594</v>
      </c>
    </row>
    <row r="226" spans="1:17" x14ac:dyDescent="0.25">
      <c r="A226" s="1">
        <v>43384</v>
      </c>
      <c r="B226" s="2" t="s">
        <v>3981</v>
      </c>
      <c r="C226" s="2" t="s">
        <v>3982</v>
      </c>
      <c r="D226" s="2">
        <v>28090</v>
      </c>
      <c r="E226" s="2" t="s">
        <v>3983</v>
      </c>
      <c r="F226" s="2" t="s">
        <v>3984</v>
      </c>
      <c r="G226" s="2" t="s">
        <v>3985</v>
      </c>
      <c r="H226" s="2">
        <v>6414501169.6999998</v>
      </c>
      <c r="I226" s="2">
        <v>14325</v>
      </c>
      <c r="J226" s="2">
        <v>24.04445488</v>
      </c>
      <c r="K226" s="2" t="s">
        <v>3986</v>
      </c>
      <c r="L226" s="2">
        <v>8979719.7902700007</v>
      </c>
      <c r="M226" s="2">
        <v>59328</v>
      </c>
      <c r="N226" s="2" t="s">
        <v>3987</v>
      </c>
      <c r="O226" s="2">
        <v>2.23E-4</v>
      </c>
      <c r="P226" s="2">
        <v>17705649</v>
      </c>
      <c r="Q226" s="2">
        <v>573</v>
      </c>
    </row>
    <row r="227" spans="1:17" x14ac:dyDescent="0.25">
      <c r="A227" s="1">
        <v>43383</v>
      </c>
      <c r="B227" s="2" t="s">
        <v>3988</v>
      </c>
      <c r="C227" s="2" t="s">
        <v>3989</v>
      </c>
      <c r="D227" s="2">
        <v>22736</v>
      </c>
      <c r="E227" s="2" t="s">
        <v>3990</v>
      </c>
      <c r="F227" s="2" t="s">
        <v>3991</v>
      </c>
      <c r="G227" s="2" t="s">
        <v>3992</v>
      </c>
      <c r="H227" s="2">
        <v>6421997781.5200005</v>
      </c>
      <c r="I227" s="2">
        <v>14125</v>
      </c>
      <c r="J227" s="2">
        <v>21.517667509999999</v>
      </c>
      <c r="K227" s="2" t="s">
        <v>3993</v>
      </c>
      <c r="L227" s="2">
        <v>8979719.7902700007</v>
      </c>
      <c r="M227" s="2">
        <v>54838</v>
      </c>
      <c r="N227" s="2" t="s">
        <v>3994</v>
      </c>
      <c r="O227" s="2">
        <v>2.2599999999999999E-4</v>
      </c>
      <c r="P227" s="2">
        <v>14476767</v>
      </c>
      <c r="Q227" s="2">
        <v>565</v>
      </c>
    </row>
    <row r="228" spans="1:17" x14ac:dyDescent="0.25">
      <c r="A228" s="1">
        <v>43382</v>
      </c>
      <c r="B228" s="2" t="s">
        <v>3995</v>
      </c>
      <c r="C228" s="2" t="s">
        <v>3996</v>
      </c>
      <c r="D228" s="2">
        <v>22835</v>
      </c>
      <c r="E228" s="2" t="s">
        <v>3997</v>
      </c>
      <c r="F228" s="2" t="s">
        <v>3998</v>
      </c>
      <c r="G228" s="2" t="s">
        <v>3999</v>
      </c>
      <c r="H228" s="2">
        <v>6428369943.2700005</v>
      </c>
      <c r="I228" s="2">
        <v>14025</v>
      </c>
      <c r="J228" s="2">
        <v>19.229471480000001</v>
      </c>
      <c r="K228" s="2" t="s">
        <v>4000</v>
      </c>
      <c r="L228" s="2">
        <v>8969901.3746499997</v>
      </c>
      <c r="M228" s="2">
        <v>53097</v>
      </c>
      <c r="N228" s="2" t="s">
        <v>4001</v>
      </c>
      <c r="O228" s="2">
        <v>2.24E-4</v>
      </c>
      <c r="P228" s="2">
        <v>13998421</v>
      </c>
      <c r="Q228" s="2">
        <v>561</v>
      </c>
    </row>
    <row r="229" spans="1:17" x14ac:dyDescent="0.25">
      <c r="A229" s="1">
        <v>43381</v>
      </c>
      <c r="B229" s="2" t="s">
        <v>4002</v>
      </c>
      <c r="C229" s="2" t="s">
        <v>4003</v>
      </c>
      <c r="D229" s="2">
        <v>23160</v>
      </c>
      <c r="E229" s="2" t="s">
        <v>4004</v>
      </c>
      <c r="F229" s="2" t="s">
        <v>4005</v>
      </c>
      <c r="G229" s="2" t="s">
        <v>4006</v>
      </c>
      <c r="H229" s="2">
        <v>6435258496.3500004</v>
      </c>
      <c r="I229" s="2">
        <v>15575</v>
      </c>
      <c r="J229" s="2">
        <v>20.060495410000001</v>
      </c>
      <c r="K229" s="2" t="s">
        <v>4007</v>
      </c>
      <c r="L229" s="2">
        <v>8478980.5939600002</v>
      </c>
      <c r="M229" s="2">
        <v>53700</v>
      </c>
      <c r="N229" s="2" t="s">
        <v>4008</v>
      </c>
      <c r="O229" s="2">
        <v>2.2599999999999999E-4</v>
      </c>
      <c r="P229" s="2">
        <v>15410949</v>
      </c>
      <c r="Q229" s="2">
        <v>623</v>
      </c>
    </row>
    <row r="230" spans="1:17" x14ac:dyDescent="0.25">
      <c r="A230" s="1">
        <v>43380</v>
      </c>
      <c r="B230" s="2" t="s">
        <v>4009</v>
      </c>
      <c r="C230" s="2" t="s">
        <v>4010</v>
      </c>
      <c r="D230" s="2">
        <v>21492</v>
      </c>
      <c r="E230" s="2" t="s">
        <v>4011</v>
      </c>
      <c r="F230" s="2" t="s">
        <v>4012</v>
      </c>
      <c r="G230" s="2" t="s">
        <v>4013</v>
      </c>
      <c r="H230" s="2">
        <v>6437389700.29</v>
      </c>
      <c r="I230" s="2">
        <v>14875</v>
      </c>
      <c r="J230" s="2">
        <v>18.643044840000002</v>
      </c>
      <c r="K230" s="2" t="s">
        <v>4014</v>
      </c>
      <c r="L230" s="2">
        <v>8478980.5939600002</v>
      </c>
      <c r="M230" s="2">
        <v>52321</v>
      </c>
      <c r="N230" s="2" t="s">
        <v>4015</v>
      </c>
      <c r="O230" s="2">
        <v>2.23E-4</v>
      </c>
      <c r="P230" s="2">
        <v>14317329</v>
      </c>
      <c r="Q230" s="2">
        <v>595</v>
      </c>
    </row>
    <row r="231" spans="1:17" x14ac:dyDescent="0.25">
      <c r="A231" s="1">
        <v>43379</v>
      </c>
      <c r="B231" s="2" t="s">
        <v>4016</v>
      </c>
      <c r="C231" s="2" t="s">
        <v>4017</v>
      </c>
      <c r="D231" s="2">
        <v>25146</v>
      </c>
      <c r="E231" s="2" t="s">
        <v>4018</v>
      </c>
      <c r="F231" s="2" t="s">
        <v>4019</v>
      </c>
      <c r="G231" s="2" t="s">
        <v>4020</v>
      </c>
      <c r="H231" s="2">
        <v>6440244262.9399996</v>
      </c>
      <c r="I231" s="2">
        <v>14725</v>
      </c>
      <c r="J231" s="2">
        <v>18.530102159999998</v>
      </c>
      <c r="K231" s="2" t="s">
        <v>4021</v>
      </c>
      <c r="L231" s="2">
        <v>8478980.5939600002</v>
      </c>
      <c r="M231" s="2">
        <v>55729</v>
      </c>
      <c r="N231" s="2" t="s">
        <v>4022</v>
      </c>
      <c r="O231" s="2">
        <v>1.92E-4</v>
      </c>
      <c r="P231" s="2">
        <v>14197831</v>
      </c>
      <c r="Q231" s="2">
        <v>589</v>
      </c>
    </row>
    <row r="232" spans="1:17" x14ac:dyDescent="0.25">
      <c r="A232" s="1">
        <v>43378</v>
      </c>
      <c r="B232" s="2" t="s">
        <v>4023</v>
      </c>
      <c r="C232" s="2" t="s">
        <v>4024</v>
      </c>
      <c r="D232" s="2">
        <v>26361</v>
      </c>
      <c r="E232" s="2" t="s">
        <v>4025</v>
      </c>
      <c r="F232" s="2" t="s">
        <v>4026</v>
      </c>
      <c r="G232" s="2" t="s">
        <v>4027</v>
      </c>
      <c r="H232" s="2">
        <v>6440696032.3400002</v>
      </c>
      <c r="I232" s="2">
        <v>14375</v>
      </c>
      <c r="J232" s="2">
        <v>20.765346650000001</v>
      </c>
      <c r="K232" s="2" t="s">
        <v>4028</v>
      </c>
      <c r="L232" s="2">
        <v>8916459.2283599991</v>
      </c>
      <c r="M232" s="2">
        <v>56893</v>
      </c>
      <c r="N232" s="2" t="s">
        <v>4029</v>
      </c>
      <c r="O232" s="2">
        <v>2.23E-4</v>
      </c>
      <c r="P232" s="2">
        <v>14592772</v>
      </c>
      <c r="Q232" s="2">
        <v>575</v>
      </c>
    </row>
    <row r="233" spans="1:17" x14ac:dyDescent="0.25">
      <c r="A233" s="1">
        <v>43377</v>
      </c>
      <c r="B233" s="2" t="s">
        <v>4030</v>
      </c>
      <c r="C233" s="2" t="s">
        <v>4031</v>
      </c>
      <c r="D233" s="2">
        <v>24039</v>
      </c>
      <c r="E233" s="2" t="s">
        <v>4032</v>
      </c>
      <c r="F233" s="2" t="s">
        <v>4033</v>
      </c>
      <c r="G233" s="2" t="s">
        <v>4034</v>
      </c>
      <c r="H233" s="2">
        <v>6442981702.4099998</v>
      </c>
      <c r="I233" s="2">
        <v>13175</v>
      </c>
      <c r="J233" s="2">
        <v>18.648176750000001</v>
      </c>
      <c r="K233" s="2" t="s">
        <v>4035</v>
      </c>
      <c r="L233" s="2">
        <v>9146222.5429900009</v>
      </c>
      <c r="M233" s="2">
        <v>54830</v>
      </c>
      <c r="N233" s="2" t="s">
        <v>4036</v>
      </c>
      <c r="O233" s="2">
        <v>2.24E-4</v>
      </c>
      <c r="P233" s="2">
        <v>14621208</v>
      </c>
      <c r="Q233" s="2">
        <v>527</v>
      </c>
    </row>
    <row r="234" spans="1:17" x14ac:dyDescent="0.25">
      <c r="A234" s="1">
        <v>43376</v>
      </c>
      <c r="B234" s="2" t="s">
        <v>4037</v>
      </c>
      <c r="C234" s="2" t="s">
        <v>4038</v>
      </c>
      <c r="D234" s="2">
        <v>28000</v>
      </c>
      <c r="E234" s="2" t="s">
        <v>4039</v>
      </c>
      <c r="F234" s="2" t="s">
        <v>4040</v>
      </c>
      <c r="G234" s="2" t="s">
        <v>4041</v>
      </c>
      <c r="H234" s="2">
        <v>6444016895.8699999</v>
      </c>
      <c r="I234" s="2">
        <v>13125</v>
      </c>
      <c r="J234" s="2">
        <v>19.900241600000001</v>
      </c>
      <c r="K234" s="2" t="s">
        <v>4042</v>
      </c>
      <c r="L234" s="2">
        <v>9146222.5429900009</v>
      </c>
      <c r="M234" s="2">
        <v>59171</v>
      </c>
      <c r="N234" s="2" t="s">
        <v>4043</v>
      </c>
      <c r="O234" s="2">
        <v>2.0845E-4</v>
      </c>
      <c r="P234" s="2">
        <v>15641373</v>
      </c>
      <c r="Q234" s="2">
        <v>525</v>
      </c>
    </row>
    <row r="235" spans="1:17" x14ac:dyDescent="0.25">
      <c r="A235" s="1">
        <v>43375</v>
      </c>
      <c r="B235" s="2" t="s">
        <v>4044</v>
      </c>
      <c r="C235" s="2" t="s">
        <v>4045</v>
      </c>
      <c r="D235" s="2">
        <v>27095</v>
      </c>
      <c r="E235" s="2" t="s">
        <v>4046</v>
      </c>
      <c r="F235" s="2" t="s">
        <v>2833</v>
      </c>
      <c r="G235" s="2" t="s">
        <v>4047</v>
      </c>
      <c r="H235" s="2">
        <v>6448669156.8900003</v>
      </c>
      <c r="I235" s="2">
        <v>13850</v>
      </c>
      <c r="J235" s="2">
        <v>20.766390049999998</v>
      </c>
      <c r="K235" s="2" t="s">
        <v>4048</v>
      </c>
      <c r="L235" s="2">
        <v>9146222.5429900009</v>
      </c>
      <c r="M235" s="2">
        <v>60182</v>
      </c>
      <c r="N235" s="2" t="s">
        <v>4049</v>
      </c>
      <c r="O235" s="2">
        <v>2.1944E-4</v>
      </c>
      <c r="P235" s="2">
        <v>15613224</v>
      </c>
      <c r="Q235" s="2">
        <v>554</v>
      </c>
    </row>
    <row r="236" spans="1:17" x14ac:dyDescent="0.25">
      <c r="A236" s="1">
        <v>43374</v>
      </c>
      <c r="B236" s="2" t="s">
        <v>4050</v>
      </c>
      <c r="C236" s="2" t="s">
        <v>4051</v>
      </c>
      <c r="D236" s="2">
        <v>28782</v>
      </c>
      <c r="E236" s="2" t="s">
        <v>4052</v>
      </c>
      <c r="F236" s="2" t="s">
        <v>4053</v>
      </c>
      <c r="G236" s="2" t="s">
        <v>4054</v>
      </c>
      <c r="H236" s="2">
        <v>6451991757.3199997</v>
      </c>
      <c r="I236" s="2">
        <v>14825</v>
      </c>
      <c r="J236" s="2">
        <v>23.071808650000001</v>
      </c>
      <c r="K236" s="2" t="s">
        <v>4055</v>
      </c>
      <c r="L236" s="2">
        <v>8923220.3011000007</v>
      </c>
      <c r="M236" s="2">
        <v>62148</v>
      </c>
      <c r="N236" s="2" t="s">
        <v>4056</v>
      </c>
      <c r="O236" s="2">
        <v>2.22E-4</v>
      </c>
      <c r="P236" s="2">
        <v>16378102</v>
      </c>
      <c r="Q236" s="2">
        <v>593</v>
      </c>
    </row>
    <row r="237" spans="1:17" x14ac:dyDescent="0.25">
      <c r="A237" s="1">
        <v>43373</v>
      </c>
      <c r="B237" s="2" t="s">
        <v>4057</v>
      </c>
      <c r="C237" s="2" t="s">
        <v>4058</v>
      </c>
      <c r="D237" s="2">
        <v>25678</v>
      </c>
      <c r="E237" s="2" t="s">
        <v>4059</v>
      </c>
      <c r="F237" s="2" t="s">
        <v>4060</v>
      </c>
      <c r="G237" s="2" t="s">
        <v>4061</v>
      </c>
      <c r="H237" s="2">
        <v>6454527260.04</v>
      </c>
      <c r="I237" s="2">
        <v>15275</v>
      </c>
      <c r="J237" s="2">
        <v>19.927018530000002</v>
      </c>
      <c r="K237" s="2" t="s">
        <v>4062</v>
      </c>
      <c r="L237" s="2">
        <v>8910079.0975599997</v>
      </c>
      <c r="M237" s="2">
        <v>56212</v>
      </c>
      <c r="N237" s="2" t="s">
        <v>4063</v>
      </c>
      <c r="O237" s="2">
        <v>2.22E-4</v>
      </c>
      <c r="P237" s="2">
        <v>19109435</v>
      </c>
      <c r="Q237" s="2">
        <v>611</v>
      </c>
    </row>
    <row r="238" spans="1:17" x14ac:dyDescent="0.25">
      <c r="A238" s="1">
        <v>43372</v>
      </c>
      <c r="B238" s="2" t="s">
        <v>4064</v>
      </c>
      <c r="C238" s="2" t="s">
        <v>4065</v>
      </c>
      <c r="D238" s="2">
        <v>27191</v>
      </c>
      <c r="E238" s="2" t="s">
        <v>4066</v>
      </c>
      <c r="F238" s="2" t="s">
        <v>4067</v>
      </c>
      <c r="G238" s="2" t="s">
        <v>4068</v>
      </c>
      <c r="H238" s="2">
        <v>6455957757.3599997</v>
      </c>
      <c r="I238" s="2">
        <v>13600</v>
      </c>
      <c r="J238" s="2">
        <v>20.708042599999999</v>
      </c>
      <c r="K238" s="2" t="s">
        <v>4069</v>
      </c>
      <c r="L238" s="2">
        <v>8910079.0975599997</v>
      </c>
      <c r="M238" s="2">
        <v>58774</v>
      </c>
      <c r="N238" s="2" t="s">
        <v>4070</v>
      </c>
      <c r="O238" s="2">
        <v>1.8781000000000001E-4</v>
      </c>
      <c r="P238" s="2">
        <v>15574114</v>
      </c>
      <c r="Q238" s="2">
        <v>544</v>
      </c>
    </row>
    <row r="239" spans="1:17" x14ac:dyDescent="0.25">
      <c r="A239" s="1">
        <v>43371</v>
      </c>
      <c r="B239" s="2" t="s">
        <v>4071</v>
      </c>
      <c r="C239" s="2" t="s">
        <v>4072</v>
      </c>
      <c r="D239" s="2">
        <v>30752</v>
      </c>
      <c r="E239" s="2" t="s">
        <v>4073</v>
      </c>
      <c r="F239" s="2" t="s">
        <v>4074</v>
      </c>
      <c r="G239" s="2" t="s">
        <v>4075</v>
      </c>
      <c r="H239" s="2">
        <v>6457076759.0500002</v>
      </c>
      <c r="I239" s="2">
        <v>15550</v>
      </c>
      <c r="J239" s="2">
        <v>26.307381679999999</v>
      </c>
      <c r="K239" s="2" t="s">
        <v>4076</v>
      </c>
      <c r="L239" s="2">
        <v>9075577.6401799992</v>
      </c>
      <c r="M239" s="2">
        <v>65708</v>
      </c>
      <c r="N239" s="2" t="s">
        <v>4077</v>
      </c>
      <c r="O239" s="2">
        <v>2.2599999999999999E-4</v>
      </c>
      <c r="P239" s="2">
        <v>27271323</v>
      </c>
      <c r="Q239" s="2">
        <v>622</v>
      </c>
    </row>
    <row r="240" spans="1:17" x14ac:dyDescent="0.25">
      <c r="A240" s="1">
        <v>43370</v>
      </c>
      <c r="B240" s="2" t="s">
        <v>4078</v>
      </c>
      <c r="C240" s="2" t="s">
        <v>4079</v>
      </c>
      <c r="D240" s="2">
        <v>31736</v>
      </c>
      <c r="E240" s="2" t="s">
        <v>4080</v>
      </c>
      <c r="F240" s="2" t="s">
        <v>4081</v>
      </c>
      <c r="G240" s="2" t="s">
        <v>4082</v>
      </c>
      <c r="H240" s="2">
        <v>6460158900.8100004</v>
      </c>
      <c r="I240" s="2">
        <v>14025</v>
      </c>
      <c r="J240" s="2">
        <v>24.374933519999999</v>
      </c>
      <c r="K240" s="2" t="s">
        <v>4083</v>
      </c>
      <c r="L240" s="2">
        <v>9230764.7471299991</v>
      </c>
      <c r="M240" s="2">
        <v>61954</v>
      </c>
      <c r="N240" s="2" t="s">
        <v>4084</v>
      </c>
      <c r="O240" s="2">
        <v>2.2599999999999999E-4</v>
      </c>
      <c r="P240" s="2">
        <v>20973051</v>
      </c>
      <c r="Q240" s="2">
        <v>561</v>
      </c>
    </row>
    <row r="241" spans="1:17" x14ac:dyDescent="0.25">
      <c r="A241" s="1">
        <v>43369</v>
      </c>
      <c r="B241" s="2" t="s">
        <v>4085</v>
      </c>
      <c r="C241" s="2" t="s">
        <v>4086</v>
      </c>
      <c r="D241" s="2">
        <v>28463</v>
      </c>
      <c r="E241" s="2" t="s">
        <v>4087</v>
      </c>
      <c r="F241" s="2" t="s">
        <v>4081</v>
      </c>
      <c r="G241" s="2" t="s">
        <v>4088</v>
      </c>
      <c r="H241" s="2">
        <v>6462941237.8800001</v>
      </c>
      <c r="I241" s="2">
        <v>12925</v>
      </c>
      <c r="J241" s="2">
        <v>20.807064520000001</v>
      </c>
      <c r="K241" s="2" t="s">
        <v>4089</v>
      </c>
      <c r="L241" s="2">
        <v>9230764.7471299991</v>
      </c>
      <c r="M241" s="2">
        <v>59101</v>
      </c>
      <c r="N241" s="2" t="s">
        <v>4090</v>
      </c>
      <c r="O241" s="2">
        <v>2.23E-4</v>
      </c>
      <c r="P241" s="2">
        <v>17941557</v>
      </c>
      <c r="Q241" s="2">
        <v>517</v>
      </c>
    </row>
    <row r="242" spans="1:17" x14ac:dyDescent="0.25">
      <c r="A242" s="1">
        <v>43368</v>
      </c>
      <c r="B242" s="2" t="s">
        <v>4091</v>
      </c>
      <c r="C242" s="2" t="s">
        <v>4092</v>
      </c>
      <c r="D242" s="2">
        <v>28344</v>
      </c>
      <c r="E242" s="2" t="s">
        <v>4093</v>
      </c>
      <c r="F242" s="2" t="s">
        <v>4094</v>
      </c>
      <c r="G242" s="2" t="s">
        <v>4095</v>
      </c>
      <c r="H242" s="2">
        <v>6470405661.3500004</v>
      </c>
      <c r="I242" s="2">
        <v>14225</v>
      </c>
      <c r="J242" s="2">
        <v>21.386976069999999</v>
      </c>
      <c r="K242" s="2" t="s">
        <v>4096</v>
      </c>
      <c r="L242" s="2">
        <v>9230764.7471299991</v>
      </c>
      <c r="M242" s="2">
        <v>60921</v>
      </c>
      <c r="N242" s="2" t="s">
        <v>4097</v>
      </c>
      <c r="O242" s="2">
        <v>2.24E-4</v>
      </c>
      <c r="P242" s="2">
        <v>18467534</v>
      </c>
      <c r="Q242" s="2">
        <v>569</v>
      </c>
    </row>
    <row r="243" spans="1:17" x14ac:dyDescent="0.25">
      <c r="A243" s="1">
        <v>43367</v>
      </c>
      <c r="B243" s="2" t="s">
        <v>4098</v>
      </c>
      <c r="C243" s="2" t="s">
        <v>4099</v>
      </c>
      <c r="D243" s="2">
        <v>27627</v>
      </c>
      <c r="E243" s="2" t="s">
        <v>4100</v>
      </c>
      <c r="F243" s="2" t="s">
        <v>4101</v>
      </c>
      <c r="G243" s="2" t="s">
        <v>4102</v>
      </c>
      <c r="H243" s="2">
        <v>6477007272.8500004</v>
      </c>
      <c r="I243" s="2">
        <v>14200</v>
      </c>
      <c r="J243" s="2">
        <v>22.62391959</v>
      </c>
      <c r="K243" s="2" t="s">
        <v>4103</v>
      </c>
      <c r="L243" s="2">
        <v>8800492.9285899997</v>
      </c>
      <c r="M243" s="2">
        <v>57676</v>
      </c>
      <c r="N243" s="2" t="s">
        <v>4104</v>
      </c>
      <c r="O243" s="2">
        <v>2.24E-4</v>
      </c>
      <c r="P243" s="2">
        <v>17968040</v>
      </c>
      <c r="Q243" s="2">
        <v>568</v>
      </c>
    </row>
    <row r="244" spans="1:17" x14ac:dyDescent="0.25">
      <c r="A244" s="1">
        <v>43366</v>
      </c>
      <c r="B244" s="2" t="s">
        <v>4105</v>
      </c>
      <c r="C244" s="2" t="s">
        <v>4106</v>
      </c>
      <c r="D244" s="2">
        <v>26115</v>
      </c>
      <c r="E244" s="2" t="s">
        <v>4107</v>
      </c>
      <c r="F244" s="2" t="s">
        <v>4108</v>
      </c>
      <c r="G244" s="2" t="s">
        <v>4109</v>
      </c>
      <c r="H244" s="2">
        <v>6479306560.7200003</v>
      </c>
      <c r="I244" s="2">
        <v>15325</v>
      </c>
      <c r="J244" s="2">
        <v>19.421408249999999</v>
      </c>
      <c r="K244" s="2" t="s">
        <v>4110</v>
      </c>
      <c r="L244" s="2">
        <v>8760775.5299500003</v>
      </c>
      <c r="M244" s="2">
        <v>56750</v>
      </c>
      <c r="N244" s="2" t="s">
        <v>4111</v>
      </c>
      <c r="O244" s="2">
        <v>2.0270999999999999E-4</v>
      </c>
      <c r="P244" s="2">
        <v>15181900</v>
      </c>
      <c r="Q244" s="2">
        <v>613</v>
      </c>
    </row>
    <row r="245" spans="1:17" x14ac:dyDescent="0.25">
      <c r="A245" s="1">
        <v>43365</v>
      </c>
      <c r="B245" s="2" t="s">
        <v>4112</v>
      </c>
      <c r="C245" s="2" t="s">
        <v>4113</v>
      </c>
      <c r="D245" s="2">
        <v>27046</v>
      </c>
      <c r="E245" s="2" t="s">
        <v>4114</v>
      </c>
      <c r="F245" s="2" t="s">
        <v>4115</v>
      </c>
      <c r="G245" s="2" t="s">
        <v>4116</v>
      </c>
      <c r="H245" s="2">
        <v>6480143284.8400002</v>
      </c>
      <c r="I245" s="2">
        <v>15425</v>
      </c>
      <c r="J245" s="2">
        <v>21.833540030000002</v>
      </c>
      <c r="K245" s="2" t="s">
        <v>4117</v>
      </c>
      <c r="L245" s="2">
        <v>8760775.5299500003</v>
      </c>
      <c r="M245" s="2">
        <v>59167</v>
      </c>
      <c r="N245" s="2" t="s">
        <v>4118</v>
      </c>
      <c r="O245" s="2">
        <v>2.02E-4</v>
      </c>
      <c r="P245" s="2">
        <v>16802816</v>
      </c>
      <c r="Q245" s="2">
        <v>617</v>
      </c>
    </row>
    <row r="246" spans="1:17" x14ac:dyDescent="0.25">
      <c r="A246" s="1">
        <v>43364</v>
      </c>
      <c r="B246" s="2" t="s">
        <v>4119</v>
      </c>
      <c r="C246" s="2" t="s">
        <v>4120</v>
      </c>
      <c r="D246" s="2">
        <v>33476</v>
      </c>
      <c r="E246" s="2" t="s">
        <v>4121</v>
      </c>
      <c r="F246" s="2" t="s">
        <v>4122</v>
      </c>
      <c r="G246" s="2" t="s">
        <v>4123</v>
      </c>
      <c r="H246" s="2">
        <v>6487925195.1400003</v>
      </c>
      <c r="I246" s="2">
        <v>15150</v>
      </c>
      <c r="J246" s="2">
        <v>26.679448690000001</v>
      </c>
      <c r="K246" s="2" t="s">
        <v>4124</v>
      </c>
      <c r="L246" s="2">
        <v>8724697.1785700005</v>
      </c>
      <c r="M246" s="2">
        <v>66140</v>
      </c>
      <c r="N246" s="2" t="s">
        <v>4125</v>
      </c>
      <c r="O246" s="2">
        <v>2.2049999999999999E-4</v>
      </c>
      <c r="P246" s="2">
        <v>24697729</v>
      </c>
      <c r="Q246" s="2">
        <v>606</v>
      </c>
    </row>
    <row r="247" spans="1:17" x14ac:dyDescent="0.25">
      <c r="A247" s="1">
        <v>43363</v>
      </c>
      <c r="B247" s="2" t="s">
        <v>4126</v>
      </c>
      <c r="C247" s="2" t="s">
        <v>4127</v>
      </c>
      <c r="D247" s="2">
        <v>27979</v>
      </c>
      <c r="E247" s="2" t="s">
        <v>4128</v>
      </c>
      <c r="F247" s="2" t="s">
        <v>4129</v>
      </c>
      <c r="G247" s="2" t="s">
        <v>4130</v>
      </c>
      <c r="H247" s="2">
        <v>6490601421.7399998</v>
      </c>
      <c r="I247" s="2">
        <v>15075</v>
      </c>
      <c r="J247" s="2">
        <v>24.326331029999999</v>
      </c>
      <c r="K247" s="2" t="s">
        <v>4131</v>
      </c>
      <c r="L247" s="2">
        <v>8696471.1742499992</v>
      </c>
      <c r="M247" s="2">
        <v>59991</v>
      </c>
      <c r="N247" s="2" t="s">
        <v>4132</v>
      </c>
      <c r="O247" s="2">
        <v>2.5900000000000001E-4</v>
      </c>
      <c r="P247" s="2">
        <v>17218590</v>
      </c>
      <c r="Q247" s="2">
        <v>603</v>
      </c>
    </row>
    <row r="248" spans="1:17" x14ac:dyDescent="0.25">
      <c r="A248" s="1">
        <v>43362</v>
      </c>
      <c r="B248" s="2" t="s">
        <v>4133</v>
      </c>
      <c r="C248" s="2" t="s">
        <v>4134</v>
      </c>
      <c r="D248" s="2">
        <v>25047</v>
      </c>
      <c r="E248" s="2" t="s">
        <v>4135</v>
      </c>
      <c r="F248" s="2" t="s">
        <v>4136</v>
      </c>
      <c r="G248" s="2" t="s">
        <v>4137</v>
      </c>
      <c r="H248" s="2">
        <v>6530505489.1999998</v>
      </c>
      <c r="I248" s="2">
        <v>12675</v>
      </c>
      <c r="J248" s="2">
        <v>21.500681480000001</v>
      </c>
      <c r="K248" s="2" t="s">
        <v>4138</v>
      </c>
      <c r="L248" s="2">
        <v>8696471.1742499992</v>
      </c>
      <c r="M248" s="2">
        <v>57209</v>
      </c>
      <c r="N248" s="2" t="s">
        <v>4139</v>
      </c>
      <c r="O248" s="2">
        <v>3.3599999999999998E-4</v>
      </c>
      <c r="P248" s="2">
        <v>17024574</v>
      </c>
      <c r="Q248" s="2">
        <v>507</v>
      </c>
    </row>
    <row r="249" spans="1:17" x14ac:dyDescent="0.25">
      <c r="A249" s="1">
        <v>43361</v>
      </c>
      <c r="B249" s="2" t="s">
        <v>4140</v>
      </c>
      <c r="C249" s="2" t="s">
        <v>4141</v>
      </c>
      <c r="D249" s="2">
        <v>26103</v>
      </c>
      <c r="E249" s="2" t="s">
        <v>4142</v>
      </c>
      <c r="F249" s="2" t="s">
        <v>4143</v>
      </c>
      <c r="G249" s="2" t="s">
        <v>4144</v>
      </c>
      <c r="H249" s="2">
        <v>6540447260.8599997</v>
      </c>
      <c r="I249" s="2">
        <v>15575</v>
      </c>
      <c r="J249" s="2">
        <v>23.801213669999999</v>
      </c>
      <c r="K249" s="2" t="s">
        <v>4145</v>
      </c>
      <c r="L249" s="2">
        <v>8705902.0526299998</v>
      </c>
      <c r="M249" s="2">
        <v>60143</v>
      </c>
      <c r="N249" s="2" t="s">
        <v>4146</v>
      </c>
      <c r="O249" s="2">
        <v>3.5082000000000001E-4</v>
      </c>
      <c r="P249" s="2">
        <v>15992706</v>
      </c>
      <c r="Q249" s="2">
        <v>623</v>
      </c>
    </row>
    <row r="250" spans="1:17" x14ac:dyDescent="0.25">
      <c r="A250" s="1">
        <v>43360</v>
      </c>
      <c r="B250" s="2" t="s">
        <v>4147</v>
      </c>
      <c r="C250" s="2" t="s">
        <v>4148</v>
      </c>
      <c r="D250" s="2">
        <v>26124</v>
      </c>
      <c r="E250" s="2" t="s">
        <v>4149</v>
      </c>
      <c r="F250" s="2" t="s">
        <v>4150</v>
      </c>
      <c r="G250" s="2" t="s">
        <v>4151</v>
      </c>
      <c r="H250" s="2">
        <v>6542710341.8100004</v>
      </c>
      <c r="I250" s="2">
        <v>13950</v>
      </c>
      <c r="J250" s="2">
        <v>24.358145799999999</v>
      </c>
      <c r="K250" s="2" t="s">
        <v>4152</v>
      </c>
      <c r="L250" s="2">
        <v>8799549.0204799995</v>
      </c>
      <c r="M250" s="2">
        <v>57278</v>
      </c>
      <c r="N250" s="2" t="s">
        <v>4153</v>
      </c>
      <c r="O250" s="2">
        <v>3.5E-4</v>
      </c>
      <c r="P250" s="2">
        <v>14823736</v>
      </c>
      <c r="Q250" s="2">
        <v>558</v>
      </c>
    </row>
    <row r="251" spans="1:17" x14ac:dyDescent="0.25">
      <c r="A251" s="1">
        <v>43359</v>
      </c>
      <c r="B251" s="2" t="s">
        <v>4154</v>
      </c>
      <c r="C251" s="2" t="s">
        <v>4155</v>
      </c>
      <c r="D251" s="2">
        <v>22179</v>
      </c>
      <c r="E251" s="2" t="s">
        <v>4156</v>
      </c>
      <c r="F251" s="2" t="s">
        <v>4157</v>
      </c>
      <c r="G251" s="2" t="s">
        <v>4158</v>
      </c>
      <c r="H251" s="2">
        <v>6549943032.7399998</v>
      </c>
      <c r="I251" s="2">
        <v>13825</v>
      </c>
      <c r="J251" s="2">
        <v>18.813334309999998</v>
      </c>
      <c r="K251" s="2" t="s">
        <v>4159</v>
      </c>
      <c r="L251" s="2">
        <v>8799549.0204799995</v>
      </c>
      <c r="M251" s="2">
        <v>53691</v>
      </c>
      <c r="N251" s="2" t="s">
        <v>4160</v>
      </c>
      <c r="O251" s="2">
        <v>3.4242000000000002E-4</v>
      </c>
      <c r="P251" s="2">
        <v>12631683</v>
      </c>
      <c r="Q251" s="2">
        <v>553</v>
      </c>
    </row>
    <row r="252" spans="1:17" x14ac:dyDescent="0.25">
      <c r="A252" s="1">
        <v>43358</v>
      </c>
      <c r="B252" s="2" t="s">
        <v>4161</v>
      </c>
      <c r="C252" s="2" t="s">
        <v>4162</v>
      </c>
      <c r="D252" s="2">
        <v>24969</v>
      </c>
      <c r="E252" s="2" t="s">
        <v>4163</v>
      </c>
      <c r="F252" s="2" t="s">
        <v>4164</v>
      </c>
      <c r="G252" s="2" t="s">
        <v>4165</v>
      </c>
      <c r="H252" s="2">
        <v>6552892763.1000004</v>
      </c>
      <c r="I252" s="2">
        <v>14450</v>
      </c>
      <c r="J252" s="2">
        <v>22.030818060000001</v>
      </c>
      <c r="K252" s="2" t="s">
        <v>4166</v>
      </c>
      <c r="L252" s="2">
        <v>8799549.0204799995</v>
      </c>
      <c r="M252" s="2">
        <v>56620</v>
      </c>
      <c r="N252" s="2" t="s">
        <v>4167</v>
      </c>
      <c r="O252" s="2">
        <v>3.4891000000000002E-4</v>
      </c>
      <c r="P252" s="2">
        <v>14410621</v>
      </c>
      <c r="Q252" s="2">
        <v>578</v>
      </c>
    </row>
    <row r="253" spans="1:17" x14ac:dyDescent="0.25">
      <c r="A253" s="1">
        <v>43357</v>
      </c>
      <c r="B253" s="2" t="s">
        <v>4168</v>
      </c>
      <c r="C253" s="2" t="s">
        <v>4169</v>
      </c>
      <c r="D253" s="2">
        <v>27316</v>
      </c>
      <c r="E253" s="2" t="s">
        <v>4170</v>
      </c>
      <c r="F253" s="2" t="s">
        <v>4171</v>
      </c>
      <c r="G253" s="2" t="s">
        <v>4172</v>
      </c>
      <c r="H253" s="2">
        <v>6555816458.8000002</v>
      </c>
      <c r="I253" s="2">
        <v>15000</v>
      </c>
      <c r="J253" s="2">
        <v>23.608937709999999</v>
      </c>
      <c r="K253" s="2" t="s">
        <v>4173</v>
      </c>
      <c r="L253" s="2">
        <v>8791698.8091499992</v>
      </c>
      <c r="M253" s="2">
        <v>59271</v>
      </c>
      <c r="N253" s="2" t="s">
        <v>4174</v>
      </c>
      <c r="O253" s="2">
        <v>3.59E-4</v>
      </c>
      <c r="P253" s="2">
        <v>15766284</v>
      </c>
      <c r="Q253" s="2">
        <v>600</v>
      </c>
    </row>
    <row r="254" spans="1:17" x14ac:dyDescent="0.25">
      <c r="A254" s="1">
        <v>43356</v>
      </c>
      <c r="B254" s="2" t="s">
        <v>4175</v>
      </c>
      <c r="C254" s="2" t="s">
        <v>4176</v>
      </c>
      <c r="D254" s="2">
        <v>26906</v>
      </c>
      <c r="E254" s="2" t="s">
        <v>4177</v>
      </c>
      <c r="F254" s="2" t="s">
        <v>4178</v>
      </c>
      <c r="G254" s="2" t="s">
        <v>4179</v>
      </c>
      <c r="H254" s="2">
        <v>6557870059.25</v>
      </c>
      <c r="I254" s="2">
        <v>14600</v>
      </c>
      <c r="J254" s="2">
        <v>23.759197530000002</v>
      </c>
      <c r="K254" s="2" t="s">
        <v>4180</v>
      </c>
      <c r="L254" s="2">
        <v>8785275.9089700002</v>
      </c>
      <c r="M254" s="2">
        <v>60276</v>
      </c>
      <c r="N254" s="2" t="s">
        <v>4181</v>
      </c>
      <c r="O254" s="2">
        <v>3.3701E-4</v>
      </c>
      <c r="P254" s="2">
        <v>15909015</v>
      </c>
      <c r="Q254" s="2">
        <v>584</v>
      </c>
    </row>
    <row r="255" spans="1:17" x14ac:dyDescent="0.25">
      <c r="A255" s="1">
        <v>43355</v>
      </c>
      <c r="B255" s="2" t="s">
        <v>4182</v>
      </c>
      <c r="C255" s="2" t="s">
        <v>4183</v>
      </c>
      <c r="D255" s="2">
        <v>28478</v>
      </c>
      <c r="E255" s="2" t="s">
        <v>4184</v>
      </c>
      <c r="F255" s="2" t="s">
        <v>4185</v>
      </c>
      <c r="G255" s="2" t="s">
        <v>4186</v>
      </c>
      <c r="H255" s="2">
        <v>6559923015.54</v>
      </c>
      <c r="I255" s="2">
        <v>13750</v>
      </c>
      <c r="J255" s="2">
        <v>25.141278369999998</v>
      </c>
      <c r="K255" s="2" t="s">
        <v>4187</v>
      </c>
      <c r="L255" s="2">
        <v>8785275.9089700002</v>
      </c>
      <c r="M255" s="2">
        <v>62836</v>
      </c>
      <c r="N255" s="2" t="s">
        <v>4188</v>
      </c>
      <c r="O255" s="2">
        <v>3.1599999999999998E-4</v>
      </c>
      <c r="P255" s="2">
        <v>15716289</v>
      </c>
      <c r="Q255" s="2">
        <v>550</v>
      </c>
    </row>
    <row r="256" spans="1:17" x14ac:dyDescent="0.25">
      <c r="A256" s="1">
        <v>43354</v>
      </c>
      <c r="B256" s="2" t="s">
        <v>4189</v>
      </c>
      <c r="C256" s="2" t="s">
        <v>4190</v>
      </c>
      <c r="D256" s="2">
        <v>28481</v>
      </c>
      <c r="E256" s="2" t="s">
        <v>4191</v>
      </c>
      <c r="F256" s="2" t="s">
        <v>4192</v>
      </c>
      <c r="G256" s="2" t="s">
        <v>4193</v>
      </c>
      <c r="H256" s="2">
        <v>6564259048.5299997</v>
      </c>
      <c r="I256" s="2">
        <v>14750</v>
      </c>
      <c r="J256" s="2">
        <v>25.646058440000001</v>
      </c>
      <c r="K256" s="2" t="s">
        <v>4194</v>
      </c>
      <c r="L256" s="2">
        <v>8779653.7636200003</v>
      </c>
      <c r="M256" s="2">
        <v>61163</v>
      </c>
      <c r="N256" s="2" t="s">
        <v>4195</v>
      </c>
      <c r="O256" s="2">
        <v>3.48E-4</v>
      </c>
      <c r="P256" s="2">
        <v>16389824</v>
      </c>
      <c r="Q256" s="2">
        <v>590</v>
      </c>
    </row>
    <row r="257" spans="1:17" x14ac:dyDescent="0.25">
      <c r="A257" s="1">
        <v>43353</v>
      </c>
      <c r="B257" s="2" t="s">
        <v>4196</v>
      </c>
      <c r="C257" s="2" t="s">
        <v>4197</v>
      </c>
      <c r="D257" s="2">
        <v>27868</v>
      </c>
      <c r="E257" s="2" t="s">
        <v>4198</v>
      </c>
      <c r="F257" s="2" t="s">
        <v>4199</v>
      </c>
      <c r="G257" s="2" t="s">
        <v>4200</v>
      </c>
      <c r="H257" s="2">
        <v>6569379650.25</v>
      </c>
      <c r="I257" s="2">
        <v>14725</v>
      </c>
      <c r="J257" s="2">
        <v>24.350337589999999</v>
      </c>
      <c r="K257" s="2" t="s">
        <v>4201</v>
      </c>
      <c r="L257" s="2">
        <v>8697984.7047700007</v>
      </c>
      <c r="M257" s="2">
        <v>60003</v>
      </c>
      <c r="N257" s="2" t="s">
        <v>4202</v>
      </c>
      <c r="O257" s="2">
        <v>3.6914000000000001E-4</v>
      </c>
      <c r="P257" s="2">
        <v>15916745</v>
      </c>
      <c r="Q257" s="2">
        <v>589</v>
      </c>
    </row>
    <row r="258" spans="1:17" x14ac:dyDescent="0.25">
      <c r="A258" s="1">
        <v>43352</v>
      </c>
      <c r="B258" s="2" t="s">
        <v>4203</v>
      </c>
      <c r="C258" s="2" t="s">
        <v>4204</v>
      </c>
      <c r="D258" s="2">
        <v>25265</v>
      </c>
      <c r="E258" s="2" t="s">
        <v>4205</v>
      </c>
      <c r="F258" s="2" t="s">
        <v>4206</v>
      </c>
      <c r="G258" s="2" t="s">
        <v>4207</v>
      </c>
      <c r="H258" s="2">
        <v>6591293223.8100004</v>
      </c>
      <c r="I258" s="2">
        <v>14025</v>
      </c>
      <c r="J258" s="2">
        <v>21.44078373</v>
      </c>
      <c r="K258" s="2" t="s">
        <v>4208</v>
      </c>
      <c r="L258" s="2">
        <v>8697984.7047700007</v>
      </c>
      <c r="M258" s="2">
        <v>58937</v>
      </c>
      <c r="N258" s="2" t="s">
        <v>4209</v>
      </c>
      <c r="O258" s="2">
        <v>3.7199999999999999E-4</v>
      </c>
      <c r="P258" s="2">
        <v>14587184</v>
      </c>
      <c r="Q258" s="2">
        <v>561</v>
      </c>
    </row>
    <row r="259" spans="1:17" x14ac:dyDescent="0.25">
      <c r="A259" s="1">
        <v>43351</v>
      </c>
      <c r="B259" s="2" t="s">
        <v>4210</v>
      </c>
      <c r="C259" s="2" t="s">
        <v>4211</v>
      </c>
      <c r="D259" s="2">
        <v>25991</v>
      </c>
      <c r="E259" s="2" t="s">
        <v>4212</v>
      </c>
      <c r="F259" s="2" t="s">
        <v>4213</v>
      </c>
      <c r="G259" s="2" t="s">
        <v>4214</v>
      </c>
      <c r="H259" s="2">
        <v>6592787235.0100002</v>
      </c>
      <c r="I259" s="2">
        <v>15025</v>
      </c>
      <c r="J259" s="2">
        <v>22.278170469999999</v>
      </c>
      <c r="K259" s="2" t="s">
        <v>4215</v>
      </c>
      <c r="L259" s="2">
        <v>8697984.7047700007</v>
      </c>
      <c r="M259" s="2">
        <v>58677</v>
      </c>
      <c r="N259" s="2" t="s">
        <v>4216</v>
      </c>
      <c r="O259" s="2">
        <v>3.6042000000000002E-4</v>
      </c>
      <c r="P259" s="2">
        <v>15009941</v>
      </c>
      <c r="Q259" s="2">
        <v>601</v>
      </c>
    </row>
    <row r="260" spans="1:17" x14ac:dyDescent="0.25">
      <c r="A260" s="1">
        <v>43350</v>
      </c>
      <c r="B260" s="2" t="s">
        <v>4217</v>
      </c>
      <c r="C260" s="2" t="s">
        <v>4218</v>
      </c>
      <c r="D260" s="2">
        <v>28434</v>
      </c>
      <c r="E260" s="2" t="s">
        <v>4219</v>
      </c>
      <c r="F260" s="2" t="s">
        <v>4220</v>
      </c>
      <c r="G260" s="2" t="s">
        <v>4221</v>
      </c>
      <c r="H260" s="2">
        <v>6597677904.6499996</v>
      </c>
      <c r="I260" s="2">
        <v>13650</v>
      </c>
      <c r="J260" s="2">
        <v>23.472468859999999</v>
      </c>
      <c r="K260" s="2" t="s">
        <v>4222</v>
      </c>
      <c r="L260" s="2">
        <v>8769200.9346099999</v>
      </c>
      <c r="M260" s="2">
        <v>60420</v>
      </c>
      <c r="N260" s="2" t="s">
        <v>4223</v>
      </c>
      <c r="O260" s="2">
        <v>3.7199999999999999E-4</v>
      </c>
      <c r="P260" s="2">
        <v>15995353</v>
      </c>
      <c r="Q260" s="2">
        <v>546</v>
      </c>
    </row>
    <row r="261" spans="1:17" x14ac:dyDescent="0.25">
      <c r="A261" s="1">
        <v>43349</v>
      </c>
      <c r="B261" s="2" t="s">
        <v>4224</v>
      </c>
      <c r="C261" s="2" t="s">
        <v>4225</v>
      </c>
      <c r="D261" s="2">
        <v>29506</v>
      </c>
      <c r="E261" s="2" t="s">
        <v>4226</v>
      </c>
      <c r="F261" s="2" t="s">
        <v>4227</v>
      </c>
      <c r="G261" s="2" t="s">
        <v>4228</v>
      </c>
      <c r="H261" s="2">
        <v>6601655101.7399998</v>
      </c>
      <c r="I261" s="2">
        <v>13725</v>
      </c>
      <c r="J261" s="2">
        <v>25.530172310000001</v>
      </c>
      <c r="K261" s="2" t="s">
        <v>4229</v>
      </c>
      <c r="L261" s="2">
        <v>8819878.3144700006</v>
      </c>
      <c r="M261" s="2">
        <v>62178</v>
      </c>
      <c r="N261" s="2" t="s">
        <v>4230</v>
      </c>
      <c r="O261" s="2">
        <v>2.5020000000000001E-4</v>
      </c>
      <c r="P261" s="2">
        <v>16313900</v>
      </c>
      <c r="Q261" s="2">
        <v>549</v>
      </c>
    </row>
    <row r="262" spans="1:17" x14ac:dyDescent="0.25">
      <c r="A262" s="1">
        <v>43348</v>
      </c>
      <c r="B262" s="2" t="s">
        <v>4231</v>
      </c>
      <c r="C262" s="2" t="s">
        <v>4232</v>
      </c>
      <c r="D262" s="2">
        <v>28653</v>
      </c>
      <c r="E262" s="2" t="s">
        <v>4233</v>
      </c>
      <c r="F262" s="2" t="s">
        <v>4234</v>
      </c>
      <c r="G262" s="2" t="s">
        <v>4235</v>
      </c>
      <c r="H262" s="2">
        <v>6608462231.3199997</v>
      </c>
      <c r="I262" s="2">
        <v>15375</v>
      </c>
      <c r="J262" s="2">
        <v>28.97365667</v>
      </c>
      <c r="K262" s="2" t="s">
        <v>4236</v>
      </c>
      <c r="L262" s="2">
        <v>8819878.3144700006</v>
      </c>
      <c r="M262" s="2">
        <v>62263</v>
      </c>
      <c r="N262" s="2" t="s">
        <v>4237</v>
      </c>
      <c r="O262" s="2">
        <v>3.2899999999999997E-4</v>
      </c>
      <c r="P262" s="2">
        <v>19343892</v>
      </c>
      <c r="Q262" s="2">
        <v>615</v>
      </c>
    </row>
    <row r="263" spans="1:17" x14ac:dyDescent="0.25">
      <c r="A263" s="1">
        <v>43347</v>
      </c>
      <c r="B263" s="2" t="s">
        <v>4238</v>
      </c>
      <c r="C263" s="2" t="s">
        <v>4239</v>
      </c>
      <c r="D263" s="2">
        <v>28882</v>
      </c>
      <c r="E263" s="2" t="s">
        <v>4240</v>
      </c>
      <c r="F263" s="2" t="s">
        <v>4241</v>
      </c>
      <c r="G263" s="2" t="s">
        <v>4242</v>
      </c>
      <c r="H263" s="2">
        <v>6616107504.0100002</v>
      </c>
      <c r="I263" s="2">
        <v>14100</v>
      </c>
      <c r="J263" s="2">
        <v>32.750871230000001</v>
      </c>
      <c r="K263" s="2" t="s">
        <v>4243</v>
      </c>
      <c r="L263" s="2">
        <v>8812555.2644999996</v>
      </c>
      <c r="M263" s="2">
        <v>63507</v>
      </c>
      <c r="N263" s="2" t="s">
        <v>4244</v>
      </c>
      <c r="O263" s="2">
        <v>3.6914000000000001E-4</v>
      </c>
      <c r="P263" s="2">
        <v>20312027</v>
      </c>
      <c r="Q263" s="2">
        <v>564</v>
      </c>
    </row>
    <row r="264" spans="1:17" x14ac:dyDescent="0.25">
      <c r="A264" s="1">
        <v>43346</v>
      </c>
      <c r="B264" s="2" t="s">
        <v>4245</v>
      </c>
      <c r="C264" s="2" t="s">
        <v>4246</v>
      </c>
      <c r="D264" s="2">
        <v>74778</v>
      </c>
      <c r="E264" s="2" t="s">
        <v>4247</v>
      </c>
      <c r="F264" s="2" t="s">
        <v>4248</v>
      </c>
      <c r="G264" s="2" t="s">
        <v>4249</v>
      </c>
      <c r="H264" s="2">
        <v>6617408862.75</v>
      </c>
      <c r="I264" s="2">
        <v>14950</v>
      </c>
      <c r="J264" s="2">
        <v>25.830813119999998</v>
      </c>
      <c r="K264" s="2" t="s">
        <v>4250</v>
      </c>
      <c r="L264" s="2">
        <v>8686646.0505800005</v>
      </c>
      <c r="M264" s="2">
        <v>60795</v>
      </c>
      <c r="N264" s="2" t="s">
        <v>4251</v>
      </c>
      <c r="O264" s="2">
        <v>3.8399999999999997E-6</v>
      </c>
      <c r="P264" s="2">
        <v>27991748</v>
      </c>
      <c r="Q264" s="2">
        <v>598</v>
      </c>
    </row>
    <row r="265" spans="1:17" x14ac:dyDescent="0.25">
      <c r="A265" s="1">
        <v>43345</v>
      </c>
      <c r="B265" s="2" t="s">
        <v>4252</v>
      </c>
      <c r="C265" s="2" t="s">
        <v>4253</v>
      </c>
      <c r="D265" s="2">
        <v>25248</v>
      </c>
      <c r="E265" s="2" t="s">
        <v>4254</v>
      </c>
      <c r="F265" s="2" t="s">
        <v>4255</v>
      </c>
      <c r="G265" s="2" t="s">
        <v>4256</v>
      </c>
      <c r="H265" s="2">
        <v>6623711715.8999996</v>
      </c>
      <c r="I265" s="2">
        <v>13600</v>
      </c>
      <c r="J265" s="2">
        <v>22.233017050000001</v>
      </c>
      <c r="K265" s="2" t="s">
        <v>4257</v>
      </c>
      <c r="L265" s="2">
        <v>8686646.0505800005</v>
      </c>
      <c r="M265" s="2">
        <v>58911</v>
      </c>
      <c r="N265" s="2" t="s">
        <v>4258</v>
      </c>
      <c r="O265" s="2">
        <v>3.6201000000000001E-4</v>
      </c>
      <c r="P265" s="2">
        <v>14691192</v>
      </c>
      <c r="Q265" s="2">
        <v>544</v>
      </c>
    </row>
    <row r="266" spans="1:17" x14ac:dyDescent="0.25">
      <c r="A266" s="1">
        <v>43344</v>
      </c>
      <c r="B266" s="2" t="s">
        <v>4259</v>
      </c>
      <c r="C266" s="2" t="s">
        <v>4260</v>
      </c>
      <c r="D266" s="2">
        <v>28620</v>
      </c>
      <c r="E266" s="2" t="s">
        <v>4261</v>
      </c>
      <c r="F266" s="2" t="s">
        <v>4262</v>
      </c>
      <c r="G266" s="2" t="s">
        <v>4263</v>
      </c>
      <c r="H266" s="2">
        <v>6624764188.7399998</v>
      </c>
      <c r="I266" s="2">
        <v>15125</v>
      </c>
      <c r="J266" s="2">
        <v>24.363978190000001</v>
      </c>
      <c r="K266" s="2" t="s">
        <v>4264</v>
      </c>
      <c r="L266" s="2">
        <v>8686646.0505800005</v>
      </c>
      <c r="M266" s="2">
        <v>62547</v>
      </c>
      <c r="N266" s="2" t="s">
        <v>4265</v>
      </c>
      <c r="O266" s="2">
        <v>2.9999999999999997E-4</v>
      </c>
      <c r="P266" s="2">
        <v>16039165</v>
      </c>
      <c r="Q266" s="2">
        <v>605</v>
      </c>
    </row>
    <row r="267" spans="1:17" x14ac:dyDescent="0.25">
      <c r="A267" s="1">
        <v>43343</v>
      </c>
      <c r="B267" s="2" t="s">
        <v>4266</v>
      </c>
      <c r="C267" s="2" t="s">
        <v>4267</v>
      </c>
      <c r="D267" s="2">
        <v>26726</v>
      </c>
      <c r="E267" s="2" t="s">
        <v>4268</v>
      </c>
      <c r="F267" s="2" t="s">
        <v>4269</v>
      </c>
      <c r="G267" s="2" t="s">
        <v>4270</v>
      </c>
      <c r="H267" s="2">
        <v>6622233877.2700005</v>
      </c>
      <c r="I267" s="2">
        <v>14350</v>
      </c>
      <c r="J267" s="2">
        <v>23.929897189999998</v>
      </c>
      <c r="K267" s="2" t="s">
        <v>4271</v>
      </c>
      <c r="L267" s="2">
        <v>8758761.4066700004</v>
      </c>
      <c r="M267" s="2">
        <v>61069</v>
      </c>
      <c r="N267" s="2" t="s">
        <v>4272</v>
      </c>
      <c r="O267" s="2">
        <v>2.7031000000000001E-4</v>
      </c>
      <c r="P267" s="2">
        <v>15429971</v>
      </c>
      <c r="Q267" s="2">
        <v>574</v>
      </c>
    </row>
    <row r="268" spans="1:17" x14ac:dyDescent="0.25">
      <c r="A268" s="1">
        <v>43342</v>
      </c>
      <c r="B268" s="2" t="s">
        <v>4273</v>
      </c>
      <c r="C268" s="2" t="s">
        <v>4274</v>
      </c>
      <c r="D268" s="2">
        <v>25178</v>
      </c>
      <c r="E268" s="2" t="s">
        <v>4275</v>
      </c>
      <c r="F268" s="2" t="s">
        <v>4276</v>
      </c>
      <c r="G268" s="2" t="s">
        <v>4277</v>
      </c>
      <c r="H268" s="2">
        <v>6623361328.29</v>
      </c>
      <c r="I268" s="2">
        <v>14125</v>
      </c>
      <c r="J268" s="2">
        <v>23.479834539999999</v>
      </c>
      <c r="K268" s="2" t="s">
        <v>4278</v>
      </c>
      <c r="L268" s="2">
        <v>8809843.11723</v>
      </c>
      <c r="M268" s="2">
        <v>58132</v>
      </c>
      <c r="N268" s="2" t="s">
        <v>4279</v>
      </c>
      <c r="O268" s="2">
        <v>3.5E-4</v>
      </c>
      <c r="P268" s="2">
        <v>15213463</v>
      </c>
      <c r="Q268" s="2">
        <v>565</v>
      </c>
    </row>
    <row r="269" spans="1:17" x14ac:dyDescent="0.25">
      <c r="A269" s="1">
        <v>43341</v>
      </c>
      <c r="B269" s="2" t="s">
        <v>4280</v>
      </c>
      <c r="C269" s="2" t="s">
        <v>4281</v>
      </c>
      <c r="D269" s="2">
        <v>25522</v>
      </c>
      <c r="E269" s="2" t="s">
        <v>4282</v>
      </c>
      <c r="F269" s="2" t="s">
        <v>4283</v>
      </c>
      <c r="G269" s="2" t="s">
        <v>4284</v>
      </c>
      <c r="H269" s="2">
        <v>6624978875.21</v>
      </c>
      <c r="I269" s="2">
        <v>15025</v>
      </c>
      <c r="J269" s="2">
        <v>25.130497720000001</v>
      </c>
      <c r="K269" s="2" t="s">
        <v>3685</v>
      </c>
      <c r="L269" s="2">
        <v>8809843.11723</v>
      </c>
      <c r="M269" s="2">
        <v>58629</v>
      </c>
      <c r="N269" s="2" t="s">
        <v>4285</v>
      </c>
      <c r="O269" s="2">
        <v>3.7199999999999999E-4</v>
      </c>
      <c r="P269" s="2">
        <v>15423711</v>
      </c>
      <c r="Q269" s="2">
        <v>601</v>
      </c>
    </row>
    <row r="270" spans="1:17" x14ac:dyDescent="0.25">
      <c r="A270" s="1">
        <v>43340</v>
      </c>
      <c r="B270" s="2" t="s">
        <v>4286</v>
      </c>
      <c r="C270" s="2" t="s">
        <v>4287</v>
      </c>
      <c r="D270" s="2">
        <v>27061</v>
      </c>
      <c r="E270" s="2" t="s">
        <v>4288</v>
      </c>
      <c r="F270" s="2" t="s">
        <v>4289</v>
      </c>
      <c r="G270" s="2" t="s">
        <v>4290</v>
      </c>
      <c r="H270" s="2">
        <v>6636330734.9099998</v>
      </c>
      <c r="I270" s="2">
        <v>13700</v>
      </c>
      <c r="J270" s="2">
        <v>27.379289369999999</v>
      </c>
      <c r="K270" s="2" t="s">
        <v>4291</v>
      </c>
      <c r="L270" s="2">
        <v>8806279.5518500004</v>
      </c>
      <c r="M270" s="2">
        <v>62601</v>
      </c>
      <c r="N270" s="2" t="s">
        <v>4292</v>
      </c>
      <c r="O270" s="2">
        <v>3.6400000000000001E-4</v>
      </c>
      <c r="P270" s="2">
        <v>18454938</v>
      </c>
      <c r="Q270" s="2">
        <v>548</v>
      </c>
    </row>
    <row r="271" spans="1:17" x14ac:dyDescent="0.25">
      <c r="A271" s="1">
        <v>43339</v>
      </c>
      <c r="B271" s="2" t="s">
        <v>4293</v>
      </c>
      <c r="C271" s="2" t="s">
        <v>4294</v>
      </c>
      <c r="D271" s="2">
        <v>24818</v>
      </c>
      <c r="E271" s="2" t="s">
        <v>4295</v>
      </c>
      <c r="F271" s="2" t="s">
        <v>4296</v>
      </c>
      <c r="G271" s="2" t="s">
        <v>4297</v>
      </c>
      <c r="H271" s="2">
        <v>6636355407.0799999</v>
      </c>
      <c r="I271" s="2">
        <v>14175</v>
      </c>
      <c r="J271" s="2">
        <v>22.379533290000001</v>
      </c>
      <c r="K271" s="2" t="s">
        <v>4298</v>
      </c>
      <c r="L271" s="2">
        <v>8752406.8280999996</v>
      </c>
      <c r="M271" s="2">
        <v>58052</v>
      </c>
      <c r="N271" s="2" t="s">
        <v>4299</v>
      </c>
      <c r="O271" s="2">
        <v>3.7399999999999998E-4</v>
      </c>
      <c r="P271" s="2">
        <v>14532569</v>
      </c>
      <c r="Q271" s="2">
        <v>567</v>
      </c>
    </row>
    <row r="272" spans="1:17" x14ac:dyDescent="0.25">
      <c r="A272" s="1">
        <v>43338</v>
      </c>
      <c r="B272" s="2" t="s">
        <v>4300</v>
      </c>
      <c r="C272" s="2" t="s">
        <v>4301</v>
      </c>
      <c r="D272" s="2">
        <v>21534</v>
      </c>
      <c r="E272" s="2" t="s">
        <v>4302</v>
      </c>
      <c r="F272" s="2" t="s">
        <v>4303</v>
      </c>
      <c r="G272" s="2" t="s">
        <v>4304</v>
      </c>
      <c r="H272" s="2">
        <v>6637606546.8199997</v>
      </c>
      <c r="I272" s="2">
        <v>13750</v>
      </c>
      <c r="J272" s="2">
        <v>19.769407170000001</v>
      </c>
      <c r="K272" s="2" t="s">
        <v>4305</v>
      </c>
      <c r="L272" s="2">
        <v>8752406.8280999996</v>
      </c>
      <c r="M272" s="2">
        <v>54487</v>
      </c>
      <c r="N272" s="2" t="s">
        <v>4306</v>
      </c>
      <c r="O272" s="2">
        <v>3.7399999999999998E-4</v>
      </c>
      <c r="P272" s="2">
        <v>12498485</v>
      </c>
      <c r="Q272" s="2">
        <v>550</v>
      </c>
    </row>
    <row r="273" spans="1:17" x14ac:dyDescent="0.25">
      <c r="A273" s="1">
        <v>43337</v>
      </c>
      <c r="B273" s="2" t="s">
        <v>4307</v>
      </c>
      <c r="C273" s="2" t="s">
        <v>4308</v>
      </c>
      <c r="D273" s="2">
        <v>23083</v>
      </c>
      <c r="E273" s="2" t="s">
        <v>4309</v>
      </c>
      <c r="F273" s="2" t="s">
        <v>4310</v>
      </c>
      <c r="G273" s="2" t="s">
        <v>4311</v>
      </c>
      <c r="H273" s="2">
        <v>6638613274.8400002</v>
      </c>
      <c r="I273" s="2">
        <v>15350</v>
      </c>
      <c r="J273" s="2">
        <v>21.201413800000001</v>
      </c>
      <c r="K273" s="2" t="s">
        <v>4312</v>
      </c>
      <c r="L273" s="2">
        <v>8752406.8280999996</v>
      </c>
      <c r="M273" s="2">
        <v>56252</v>
      </c>
      <c r="N273" s="2" t="s">
        <v>4313</v>
      </c>
      <c r="O273" s="2">
        <v>3.7310000000000002E-4</v>
      </c>
      <c r="P273" s="2">
        <v>13409197</v>
      </c>
      <c r="Q273" s="2">
        <v>614</v>
      </c>
    </row>
    <row r="274" spans="1:17" x14ac:dyDescent="0.25">
      <c r="A274" s="1">
        <v>43336</v>
      </c>
      <c r="B274" s="2" t="s">
        <v>4314</v>
      </c>
      <c r="C274" s="2" t="s">
        <v>4315</v>
      </c>
      <c r="D274" s="2">
        <v>25651</v>
      </c>
      <c r="E274" s="2" t="s">
        <v>4316</v>
      </c>
      <c r="F274" s="2" t="s">
        <v>4317</v>
      </c>
      <c r="G274" s="2" t="s">
        <v>4318</v>
      </c>
      <c r="H274" s="2">
        <v>6640425398.6099997</v>
      </c>
      <c r="I274" s="2">
        <v>14350</v>
      </c>
      <c r="J274" s="2">
        <v>22.685617109999999</v>
      </c>
      <c r="K274" s="2" t="s">
        <v>4319</v>
      </c>
      <c r="L274" s="2">
        <v>8794637.8606100008</v>
      </c>
      <c r="M274" s="2">
        <v>59571</v>
      </c>
      <c r="N274" s="2" t="s">
        <v>4320</v>
      </c>
      <c r="O274" s="2">
        <v>3.7399999999999998E-4</v>
      </c>
      <c r="P274" s="2">
        <v>14865602</v>
      </c>
      <c r="Q274" s="2">
        <v>574</v>
      </c>
    </row>
    <row r="275" spans="1:17" x14ac:dyDescent="0.25">
      <c r="A275" s="1">
        <v>43335</v>
      </c>
      <c r="B275" s="2" t="s">
        <v>4321</v>
      </c>
      <c r="C275" s="2" t="s">
        <v>4322</v>
      </c>
      <c r="D275" s="2">
        <v>25387</v>
      </c>
      <c r="E275" s="2" t="s">
        <v>4323</v>
      </c>
      <c r="F275" s="2" t="s">
        <v>4324</v>
      </c>
      <c r="G275" s="2" t="s">
        <v>4325</v>
      </c>
      <c r="H275" s="2">
        <v>6643082641.4300003</v>
      </c>
      <c r="I275" s="2">
        <v>14275</v>
      </c>
      <c r="J275" s="2">
        <v>23.242904759999998</v>
      </c>
      <c r="K275" s="2" t="s">
        <v>4326</v>
      </c>
      <c r="L275" s="2">
        <v>8827455.1645100005</v>
      </c>
      <c r="M275" s="2">
        <v>58428</v>
      </c>
      <c r="N275" s="2" t="s">
        <v>4327</v>
      </c>
      <c r="O275" s="2">
        <v>3.6200000000000002E-4</v>
      </c>
      <c r="P275" s="2">
        <v>15159055</v>
      </c>
      <c r="Q275" s="2">
        <v>571</v>
      </c>
    </row>
    <row r="276" spans="1:17" x14ac:dyDescent="0.25">
      <c r="A276" s="1">
        <v>43334</v>
      </c>
      <c r="B276" s="2" t="s">
        <v>4328</v>
      </c>
      <c r="C276" s="2" t="s">
        <v>4329</v>
      </c>
      <c r="D276" s="2">
        <v>25595</v>
      </c>
      <c r="E276" s="2" t="s">
        <v>4330</v>
      </c>
      <c r="F276" s="2" t="s">
        <v>4331</v>
      </c>
      <c r="G276" s="2" t="s">
        <v>4332</v>
      </c>
      <c r="H276" s="2">
        <v>6645796213.9300003</v>
      </c>
      <c r="I276" s="2">
        <v>14450</v>
      </c>
      <c r="J276" s="2">
        <v>23.08301501</v>
      </c>
      <c r="K276" s="2" t="s">
        <v>4333</v>
      </c>
      <c r="L276" s="2">
        <v>8827455.1645100005</v>
      </c>
      <c r="M276" s="2">
        <v>59421</v>
      </c>
      <c r="N276" s="2" t="s">
        <v>4334</v>
      </c>
      <c r="O276" s="2">
        <v>3.7399999999999998E-4</v>
      </c>
      <c r="P276" s="2">
        <v>14598614</v>
      </c>
      <c r="Q276" s="2">
        <v>578</v>
      </c>
    </row>
    <row r="277" spans="1:17" x14ac:dyDescent="0.25">
      <c r="A277" s="1">
        <v>43333</v>
      </c>
      <c r="B277" s="2" t="s">
        <v>4335</v>
      </c>
      <c r="C277" s="2" t="s">
        <v>4336</v>
      </c>
      <c r="D277" s="2">
        <v>24430</v>
      </c>
      <c r="E277" s="2" t="s">
        <v>4337</v>
      </c>
      <c r="F277" s="2" t="s">
        <v>4338</v>
      </c>
      <c r="G277" s="2" t="s">
        <v>4339</v>
      </c>
      <c r="H277" s="2">
        <v>6650288350.8299999</v>
      </c>
      <c r="I277" s="2">
        <v>14350</v>
      </c>
      <c r="J277" s="2">
        <v>23.01885832</v>
      </c>
      <c r="K277" s="2" t="s">
        <v>4340</v>
      </c>
      <c r="L277" s="2">
        <v>8809283.2211700007</v>
      </c>
      <c r="M277" s="2">
        <v>64522</v>
      </c>
      <c r="N277" s="2" t="s">
        <v>4341</v>
      </c>
      <c r="O277" s="2">
        <v>3.6200000000000002E-4</v>
      </c>
      <c r="P277" s="2">
        <v>14394714</v>
      </c>
      <c r="Q277" s="2">
        <v>574</v>
      </c>
    </row>
    <row r="278" spans="1:17" x14ac:dyDescent="0.25">
      <c r="A278" s="1">
        <v>43332</v>
      </c>
      <c r="B278" s="2" t="s">
        <v>4342</v>
      </c>
      <c r="C278" s="2" t="s">
        <v>4343</v>
      </c>
      <c r="D278" s="2">
        <v>26422</v>
      </c>
      <c r="E278" s="2" t="s">
        <v>4344</v>
      </c>
      <c r="F278" s="2" t="s">
        <v>4345</v>
      </c>
      <c r="G278" s="2" t="s">
        <v>4346</v>
      </c>
      <c r="H278" s="2">
        <v>6653924425.0200005</v>
      </c>
      <c r="I278" s="2">
        <v>15325</v>
      </c>
      <c r="J278" s="2">
        <v>24.512421329999999</v>
      </c>
      <c r="K278" s="2" t="s">
        <v>4347</v>
      </c>
      <c r="L278" s="2">
        <v>8479765.3154000007</v>
      </c>
      <c r="M278" s="2">
        <v>54458</v>
      </c>
      <c r="N278" s="2" t="s">
        <v>4348</v>
      </c>
      <c r="O278" s="2">
        <v>3.7399999999999998E-4</v>
      </c>
      <c r="P278" s="2">
        <v>15586965</v>
      </c>
      <c r="Q278" s="2">
        <v>613</v>
      </c>
    </row>
    <row r="279" spans="1:17" x14ac:dyDescent="0.25">
      <c r="A279" s="1">
        <v>43331</v>
      </c>
      <c r="B279" s="2" t="s">
        <v>4349</v>
      </c>
      <c r="C279" s="2" t="s">
        <v>4350</v>
      </c>
      <c r="D279" s="2">
        <v>22699</v>
      </c>
      <c r="E279" s="2" t="s">
        <v>4351</v>
      </c>
      <c r="F279" s="2" t="s">
        <v>4352</v>
      </c>
      <c r="G279" s="2" t="s">
        <v>4353</v>
      </c>
      <c r="H279" s="2">
        <v>6666410935.9499998</v>
      </c>
      <c r="I279" s="2">
        <v>14375</v>
      </c>
      <c r="J279" s="2">
        <v>28.24337302</v>
      </c>
      <c r="K279" s="2" t="s">
        <v>4354</v>
      </c>
      <c r="L279" s="2">
        <v>8479765.3154000007</v>
      </c>
      <c r="M279" s="2">
        <v>56492</v>
      </c>
      <c r="N279" s="2" t="s">
        <v>4355</v>
      </c>
      <c r="O279" s="2">
        <v>3.7399999999999998E-4</v>
      </c>
      <c r="P279" s="2">
        <v>24398412</v>
      </c>
      <c r="Q279" s="2">
        <v>575</v>
      </c>
    </row>
    <row r="280" spans="1:17" x14ac:dyDescent="0.25">
      <c r="A280" s="1">
        <v>43330</v>
      </c>
      <c r="B280" s="2" t="s">
        <v>4356</v>
      </c>
      <c r="C280" s="2" t="s">
        <v>4357</v>
      </c>
      <c r="D280" s="2">
        <v>25886</v>
      </c>
      <c r="E280" s="2" t="s">
        <v>4358</v>
      </c>
      <c r="F280" s="2" t="s">
        <v>4359</v>
      </c>
      <c r="G280" s="2" t="s">
        <v>4360</v>
      </c>
      <c r="H280" s="2">
        <v>6667403066.3699999</v>
      </c>
      <c r="I280" s="2">
        <v>15775</v>
      </c>
      <c r="J280" s="2">
        <v>23.152520639999999</v>
      </c>
      <c r="K280" s="2" t="s">
        <v>4361</v>
      </c>
      <c r="L280" s="2">
        <v>8479765.3154000007</v>
      </c>
      <c r="M280" s="2">
        <v>60093</v>
      </c>
      <c r="N280" s="2" t="s">
        <v>4362</v>
      </c>
      <c r="O280" s="2">
        <v>2.9999999999999997E-4</v>
      </c>
      <c r="P280" s="2">
        <v>14742604</v>
      </c>
      <c r="Q280" s="2">
        <v>631</v>
      </c>
    </row>
    <row r="281" spans="1:17" x14ac:dyDescent="0.25">
      <c r="A281" s="1">
        <v>43329</v>
      </c>
      <c r="B281" s="2" t="s">
        <v>4363</v>
      </c>
      <c r="C281" s="2" t="s">
        <v>4364</v>
      </c>
      <c r="D281" s="2">
        <v>29406</v>
      </c>
      <c r="E281" s="2" t="s">
        <v>4365</v>
      </c>
      <c r="F281" s="2" t="s">
        <v>4366</v>
      </c>
      <c r="G281" s="2" t="s">
        <v>4367</v>
      </c>
      <c r="H281" s="2">
        <v>6670675873.4300003</v>
      </c>
      <c r="I281" s="2">
        <v>13075</v>
      </c>
      <c r="J281" s="2">
        <v>24.457531240000002</v>
      </c>
      <c r="K281" s="2" t="s">
        <v>4368</v>
      </c>
      <c r="L281" s="2">
        <v>8747565.6306699999</v>
      </c>
      <c r="M281" s="2">
        <v>65065</v>
      </c>
      <c r="N281" s="2" t="s">
        <v>4369</v>
      </c>
      <c r="O281" s="2">
        <v>2.8249999999999998E-4</v>
      </c>
      <c r="P281" s="2">
        <v>16223751</v>
      </c>
      <c r="Q281" s="2">
        <v>523</v>
      </c>
    </row>
    <row r="282" spans="1:17" x14ac:dyDescent="0.25">
      <c r="A282" s="1">
        <v>43328</v>
      </c>
      <c r="B282" s="2" t="s">
        <v>4370</v>
      </c>
      <c r="C282" s="2" t="s">
        <v>4371</v>
      </c>
      <c r="D282" s="2">
        <v>27953</v>
      </c>
      <c r="E282" s="2" t="s">
        <v>4372</v>
      </c>
      <c r="F282" s="2" t="s">
        <v>4373</v>
      </c>
      <c r="G282" s="2" t="s">
        <v>4374</v>
      </c>
      <c r="H282" s="2">
        <v>6669639888.0100002</v>
      </c>
      <c r="I282" s="2">
        <v>13700</v>
      </c>
      <c r="J282" s="2">
        <v>23.88085865</v>
      </c>
      <c r="K282" s="2" t="s">
        <v>4375</v>
      </c>
      <c r="L282" s="2">
        <v>8873191.0594599992</v>
      </c>
      <c r="M282" s="2">
        <v>62753</v>
      </c>
      <c r="N282" s="2" t="s">
        <v>4376</v>
      </c>
      <c r="O282" s="2">
        <v>2.9060000000000002E-4</v>
      </c>
      <c r="P282" s="2">
        <v>16084241</v>
      </c>
      <c r="Q282" s="2">
        <v>548</v>
      </c>
    </row>
    <row r="283" spans="1:17" x14ac:dyDescent="0.25">
      <c r="A283" s="1">
        <v>43327</v>
      </c>
      <c r="B283" s="2" t="s">
        <v>4377</v>
      </c>
      <c r="C283" s="2" t="s">
        <v>4378</v>
      </c>
      <c r="D283" s="2">
        <v>29572</v>
      </c>
      <c r="E283" s="2" t="s">
        <v>4379</v>
      </c>
      <c r="F283" s="2" t="s">
        <v>4380</v>
      </c>
      <c r="G283" s="2" t="s">
        <v>4381</v>
      </c>
      <c r="H283" s="2">
        <v>6674191237.9300003</v>
      </c>
      <c r="I283" s="2">
        <v>14200</v>
      </c>
      <c r="J283" s="2">
        <v>24.815380730000001</v>
      </c>
      <c r="K283" s="2" t="s">
        <v>4382</v>
      </c>
      <c r="L283" s="2">
        <v>8873191.0594599992</v>
      </c>
      <c r="M283" s="2">
        <v>65021</v>
      </c>
      <c r="N283" s="2" t="s">
        <v>4383</v>
      </c>
      <c r="O283" s="2">
        <v>2.5957999999999998E-4</v>
      </c>
      <c r="P283" s="2">
        <v>16198219</v>
      </c>
      <c r="Q283" s="2">
        <v>568</v>
      </c>
    </row>
    <row r="284" spans="1:17" x14ac:dyDescent="0.25">
      <c r="A284" s="1">
        <v>43326</v>
      </c>
      <c r="B284" s="2" t="s">
        <v>4384</v>
      </c>
      <c r="C284" s="2" t="s">
        <v>4385</v>
      </c>
      <c r="D284" s="2">
        <v>31445</v>
      </c>
      <c r="E284" s="2" t="s">
        <v>4386</v>
      </c>
      <c r="F284" s="2" t="s">
        <v>4387</v>
      </c>
      <c r="G284" s="2" t="s">
        <v>4388</v>
      </c>
      <c r="H284" s="2">
        <v>6692581269.3699999</v>
      </c>
      <c r="I284" s="2">
        <v>14100</v>
      </c>
      <c r="J284" s="2">
        <v>28.307736250000001</v>
      </c>
      <c r="K284" s="2" t="s">
        <v>4389</v>
      </c>
      <c r="L284" s="2">
        <v>8907657.1626399998</v>
      </c>
      <c r="M284" s="2">
        <v>66731</v>
      </c>
      <c r="N284" s="2" t="s">
        <v>4390</v>
      </c>
      <c r="O284" s="2">
        <v>2.5743000000000001E-4</v>
      </c>
      <c r="P284" s="2">
        <v>17576891</v>
      </c>
      <c r="Q284" s="2">
        <v>564</v>
      </c>
    </row>
    <row r="285" spans="1:17" x14ac:dyDescent="0.25">
      <c r="A285" s="1">
        <v>43325</v>
      </c>
      <c r="B285" s="2" t="s">
        <v>4391</v>
      </c>
      <c r="C285" s="2" t="s">
        <v>4392</v>
      </c>
      <c r="D285" s="2">
        <v>28397</v>
      </c>
      <c r="E285" s="2" t="s">
        <v>4393</v>
      </c>
      <c r="F285" s="2" t="s">
        <v>4394</v>
      </c>
      <c r="G285" s="2" t="s">
        <v>4395</v>
      </c>
      <c r="H285" s="2">
        <v>6711612625.6000004</v>
      </c>
      <c r="I285" s="2">
        <v>13375</v>
      </c>
      <c r="J285" s="2">
        <v>26.576434219999999</v>
      </c>
      <c r="K285" s="2" t="s">
        <v>4396</v>
      </c>
      <c r="L285" s="2">
        <v>9845135.1691900007</v>
      </c>
      <c r="M285" s="2">
        <v>66034</v>
      </c>
      <c r="N285" s="2" t="s">
        <v>4397</v>
      </c>
      <c r="O285" s="2">
        <v>3.6200000000000002E-4</v>
      </c>
      <c r="P285" s="2">
        <v>16498006</v>
      </c>
      <c r="Q285" s="2">
        <v>535</v>
      </c>
    </row>
    <row r="286" spans="1:17" x14ac:dyDescent="0.25">
      <c r="A286" s="1">
        <v>43324</v>
      </c>
      <c r="B286" s="2" t="s">
        <v>4398</v>
      </c>
      <c r="C286" s="2" t="s">
        <v>4399</v>
      </c>
      <c r="D286" s="2">
        <v>21981</v>
      </c>
      <c r="E286" s="2" t="s">
        <v>4400</v>
      </c>
      <c r="F286" s="2" t="s">
        <v>4401</v>
      </c>
      <c r="G286" s="2" t="s">
        <v>4402</v>
      </c>
      <c r="H286" s="2">
        <v>6722742178.3299999</v>
      </c>
      <c r="I286" s="2">
        <v>12600</v>
      </c>
      <c r="J286" s="2">
        <v>20.900488889999998</v>
      </c>
      <c r="K286" s="2" t="s">
        <v>4403</v>
      </c>
      <c r="L286" s="2">
        <v>9845135.1691900007</v>
      </c>
      <c r="M286" s="2">
        <v>55644</v>
      </c>
      <c r="N286" s="2" t="s">
        <v>4404</v>
      </c>
      <c r="O286" s="2">
        <v>3.5796999999999999E-4</v>
      </c>
      <c r="P286" s="2">
        <v>12872515</v>
      </c>
      <c r="Q286" s="2">
        <v>504</v>
      </c>
    </row>
    <row r="287" spans="1:17" x14ac:dyDescent="0.25">
      <c r="A287" s="1">
        <v>43323</v>
      </c>
      <c r="B287" s="2" t="s">
        <v>4405</v>
      </c>
      <c r="C287" s="2" t="s">
        <v>4406</v>
      </c>
      <c r="D287" s="2">
        <v>26817</v>
      </c>
      <c r="E287" s="2" t="s">
        <v>4407</v>
      </c>
      <c r="F287" s="2" t="s">
        <v>4408</v>
      </c>
      <c r="G287" s="2" t="s">
        <v>4409</v>
      </c>
      <c r="H287" s="2">
        <v>6728205618.8000002</v>
      </c>
      <c r="I287" s="2">
        <v>12750</v>
      </c>
      <c r="J287" s="2">
        <v>24.271926359999998</v>
      </c>
      <c r="K287" s="2" t="s">
        <v>4410</v>
      </c>
      <c r="L287" s="2">
        <v>9845135.1691900007</v>
      </c>
      <c r="M287" s="2">
        <v>60302</v>
      </c>
      <c r="N287" s="2" t="s">
        <v>4411</v>
      </c>
      <c r="O287" s="2">
        <v>2.5900000000000001E-4</v>
      </c>
      <c r="P287" s="2">
        <v>14757460</v>
      </c>
      <c r="Q287" s="2">
        <v>510</v>
      </c>
    </row>
    <row r="288" spans="1:17" x14ac:dyDescent="0.25">
      <c r="A288" s="1">
        <v>43322</v>
      </c>
      <c r="B288" s="2" t="s">
        <v>4412</v>
      </c>
      <c r="C288" s="2" t="s">
        <v>4413</v>
      </c>
      <c r="D288" s="2">
        <v>28160</v>
      </c>
      <c r="E288" s="2" t="s">
        <v>4414</v>
      </c>
      <c r="F288" s="2" t="s">
        <v>4415</v>
      </c>
      <c r="G288" s="2" t="s">
        <v>4416</v>
      </c>
      <c r="H288" s="2">
        <v>6734763651.8699999</v>
      </c>
      <c r="I288" s="2">
        <v>13400</v>
      </c>
      <c r="J288" s="2">
        <v>25.655558150000001</v>
      </c>
      <c r="K288" s="2" t="s">
        <v>4417</v>
      </c>
      <c r="L288" s="2">
        <v>9740950.5775099993</v>
      </c>
      <c r="M288" s="2">
        <v>64388</v>
      </c>
      <c r="N288" s="2" t="s">
        <v>4418</v>
      </c>
      <c r="O288" s="2">
        <v>2.9127999999999999E-4</v>
      </c>
      <c r="P288" s="2">
        <v>16068562</v>
      </c>
      <c r="Q288" s="2">
        <v>536</v>
      </c>
    </row>
    <row r="289" spans="1:17" x14ac:dyDescent="0.25">
      <c r="A289" s="1">
        <v>43321</v>
      </c>
      <c r="B289" s="2" t="s">
        <v>4419</v>
      </c>
      <c r="C289" s="2" t="s">
        <v>4420</v>
      </c>
      <c r="D289" s="2">
        <v>28422</v>
      </c>
      <c r="E289" s="2" t="s">
        <v>4421</v>
      </c>
      <c r="F289" s="2" t="s">
        <v>4422</v>
      </c>
      <c r="G289" s="2" t="s">
        <v>4423</v>
      </c>
      <c r="H289" s="2">
        <v>6741330583.8999996</v>
      </c>
      <c r="I289" s="2">
        <v>15850</v>
      </c>
      <c r="J289" s="2">
        <v>30.564847879999999</v>
      </c>
      <c r="K289" s="2" t="s">
        <v>4424</v>
      </c>
      <c r="L289" s="2">
        <v>9217686.3923000004</v>
      </c>
      <c r="M289" s="2">
        <v>65155</v>
      </c>
      <c r="N289" s="2" t="s">
        <v>4425</v>
      </c>
      <c r="O289" s="2">
        <v>3.2600000000000001E-4</v>
      </c>
      <c r="P289" s="2">
        <v>20486136</v>
      </c>
      <c r="Q289" s="2">
        <v>634</v>
      </c>
    </row>
    <row r="290" spans="1:17" x14ac:dyDescent="0.25">
      <c r="A290" s="1">
        <v>43320</v>
      </c>
      <c r="B290" s="2" t="s">
        <v>4426</v>
      </c>
      <c r="C290" s="2" t="s">
        <v>4427</v>
      </c>
      <c r="D290" s="2">
        <v>30339</v>
      </c>
      <c r="E290" s="2" t="s">
        <v>4428</v>
      </c>
      <c r="F290" s="2" t="s">
        <v>4429</v>
      </c>
      <c r="G290" s="2" t="s">
        <v>4430</v>
      </c>
      <c r="H290" s="2">
        <v>6754534435.0799999</v>
      </c>
      <c r="I290" s="2">
        <v>14725</v>
      </c>
      <c r="J290" s="2">
        <v>33.871584800000001</v>
      </c>
      <c r="K290" s="2" t="s">
        <v>4431</v>
      </c>
      <c r="L290" s="2">
        <v>9217686.3923000004</v>
      </c>
      <c r="M290" s="2">
        <v>69272</v>
      </c>
      <c r="N290" s="2" t="s">
        <v>4432</v>
      </c>
      <c r="O290" s="2">
        <v>3.4000000000000002E-4</v>
      </c>
      <c r="P290" s="2">
        <v>20740484</v>
      </c>
      <c r="Q290" s="2">
        <v>589</v>
      </c>
    </row>
    <row r="291" spans="1:17" x14ac:dyDescent="0.25">
      <c r="A291" s="1">
        <v>43319</v>
      </c>
      <c r="B291" s="2" t="s">
        <v>4433</v>
      </c>
      <c r="C291" s="2" t="s">
        <v>4434</v>
      </c>
      <c r="D291" s="2">
        <v>27812</v>
      </c>
      <c r="E291" s="2" t="s">
        <v>4435</v>
      </c>
      <c r="F291" s="2" t="s">
        <v>4436</v>
      </c>
      <c r="G291" s="2" t="s">
        <v>4437</v>
      </c>
      <c r="H291" s="2">
        <v>6852688493.7299995</v>
      </c>
      <c r="I291" s="2">
        <v>15600</v>
      </c>
      <c r="J291" s="2">
        <v>29.465000060000001</v>
      </c>
      <c r="K291" s="2" t="s">
        <v>4438</v>
      </c>
      <c r="L291" s="2">
        <v>9217686.3923000004</v>
      </c>
      <c r="M291" s="2">
        <v>65931</v>
      </c>
      <c r="N291" s="2" t="s">
        <v>4439</v>
      </c>
      <c r="O291" s="2">
        <v>3.7275999999999998E-4</v>
      </c>
      <c r="P291" s="2">
        <v>17727304</v>
      </c>
      <c r="Q291" s="2">
        <v>624</v>
      </c>
    </row>
    <row r="292" spans="1:17" x14ac:dyDescent="0.25">
      <c r="A292" s="1">
        <v>43318</v>
      </c>
      <c r="B292" s="2" t="s">
        <v>4440</v>
      </c>
      <c r="C292" s="2" t="s">
        <v>4441</v>
      </c>
      <c r="D292" s="2">
        <v>25206</v>
      </c>
      <c r="E292" s="2" t="s">
        <v>4442</v>
      </c>
      <c r="F292" s="2" t="s">
        <v>4443</v>
      </c>
      <c r="G292" s="2" t="s">
        <v>4444</v>
      </c>
      <c r="H292" s="2">
        <v>6859645409.4899998</v>
      </c>
      <c r="I292" s="2">
        <v>14825</v>
      </c>
      <c r="J292" s="2">
        <v>26.548365260000001</v>
      </c>
      <c r="K292" s="2" t="s">
        <v>4445</v>
      </c>
      <c r="L292" s="2">
        <v>9072309.17533</v>
      </c>
      <c r="M292" s="2">
        <v>62830</v>
      </c>
      <c r="N292" s="2" t="s">
        <v>4446</v>
      </c>
      <c r="O292" s="2">
        <v>3.7199999999999999E-4</v>
      </c>
      <c r="P292" s="2">
        <v>16131309</v>
      </c>
      <c r="Q292" s="2">
        <v>593</v>
      </c>
    </row>
    <row r="293" spans="1:17" x14ac:dyDescent="0.25">
      <c r="A293" s="1">
        <v>43317</v>
      </c>
      <c r="B293" s="2" t="s">
        <v>4447</v>
      </c>
      <c r="C293" s="2" t="s">
        <v>4448</v>
      </c>
      <c r="D293" s="2">
        <v>20405</v>
      </c>
      <c r="E293" s="2" t="s">
        <v>4449</v>
      </c>
      <c r="F293" s="2" t="s">
        <v>4450</v>
      </c>
      <c r="G293" s="2" t="s">
        <v>4451</v>
      </c>
      <c r="H293" s="2">
        <v>6867708926.5900002</v>
      </c>
      <c r="I293" s="2">
        <v>14900</v>
      </c>
      <c r="J293" s="2">
        <v>21.17392718</v>
      </c>
      <c r="K293" s="2" t="s">
        <v>4452</v>
      </c>
      <c r="L293" s="2">
        <v>9049638.2643100005</v>
      </c>
      <c r="M293" s="2">
        <v>60779</v>
      </c>
      <c r="N293" s="2" t="s">
        <v>4453</v>
      </c>
      <c r="O293" s="2">
        <v>3.7399999999999998E-4</v>
      </c>
      <c r="P293" s="2">
        <v>12542893</v>
      </c>
      <c r="Q293" s="2">
        <v>596</v>
      </c>
    </row>
    <row r="294" spans="1:17" x14ac:dyDescent="0.25">
      <c r="A294" s="1">
        <v>43316</v>
      </c>
      <c r="B294" s="2" t="s">
        <v>4454</v>
      </c>
      <c r="C294" s="2" t="s">
        <v>4455</v>
      </c>
      <c r="D294" s="2">
        <v>23147</v>
      </c>
      <c r="E294" s="2" t="s">
        <v>4456</v>
      </c>
      <c r="F294" s="2" t="s">
        <v>4457</v>
      </c>
      <c r="G294" s="2" t="s">
        <v>4458</v>
      </c>
      <c r="H294" s="2">
        <v>6868493537.8100004</v>
      </c>
      <c r="I294" s="2">
        <v>14400</v>
      </c>
      <c r="J294" s="2">
        <v>22.33856625</v>
      </c>
      <c r="K294" s="2" t="s">
        <v>4459</v>
      </c>
      <c r="L294" s="2">
        <v>9049638.2643100005</v>
      </c>
      <c r="M294" s="2">
        <v>60846</v>
      </c>
      <c r="N294" s="2" t="s">
        <v>4460</v>
      </c>
      <c r="O294" s="2">
        <v>3.19E-4</v>
      </c>
      <c r="P294" s="2">
        <v>14060876</v>
      </c>
      <c r="Q294" s="2">
        <v>576</v>
      </c>
    </row>
    <row r="295" spans="1:17" x14ac:dyDescent="0.25">
      <c r="A295" s="1">
        <v>43315</v>
      </c>
      <c r="B295" s="2" t="s">
        <v>4461</v>
      </c>
      <c r="C295" s="2" t="s">
        <v>4462</v>
      </c>
      <c r="D295" s="2">
        <v>26825</v>
      </c>
      <c r="E295" s="2" t="s">
        <v>4463</v>
      </c>
      <c r="F295" s="2" t="s">
        <v>4464</v>
      </c>
      <c r="G295" s="2" t="s">
        <v>4465</v>
      </c>
      <c r="H295" s="2">
        <v>6875570913.6700001</v>
      </c>
      <c r="I295" s="2">
        <v>13575</v>
      </c>
      <c r="J295" s="2">
        <v>25.533674090000002</v>
      </c>
      <c r="K295" s="2" t="s">
        <v>4466</v>
      </c>
      <c r="L295" s="2">
        <v>9448090.3526900001</v>
      </c>
      <c r="M295" s="2">
        <v>64175</v>
      </c>
      <c r="N295" s="2" t="s">
        <v>4467</v>
      </c>
      <c r="O295" s="2">
        <v>3.6200000000000002E-4</v>
      </c>
      <c r="P295" s="2">
        <v>16697475</v>
      </c>
      <c r="Q295" s="2">
        <v>543</v>
      </c>
    </row>
    <row r="296" spans="1:17" x14ac:dyDescent="0.25">
      <c r="A296" s="1">
        <v>43314</v>
      </c>
      <c r="B296" s="2" t="s">
        <v>4468</v>
      </c>
      <c r="C296" s="2" t="s">
        <v>4469</v>
      </c>
      <c r="D296" s="2">
        <v>25224</v>
      </c>
      <c r="E296" s="2" t="s">
        <v>4470</v>
      </c>
      <c r="F296" s="2" t="s">
        <v>4471</v>
      </c>
      <c r="G296" s="2" t="s">
        <v>4472</v>
      </c>
      <c r="H296" s="2">
        <v>6877342982.2200003</v>
      </c>
      <c r="I296" s="2">
        <v>14575</v>
      </c>
      <c r="J296" s="2">
        <v>26.200873940000001</v>
      </c>
      <c r="K296" s="2" t="s">
        <v>4473</v>
      </c>
      <c r="L296" s="2">
        <v>10070201.868100001</v>
      </c>
      <c r="M296" s="2">
        <v>63779</v>
      </c>
      <c r="N296" s="2" t="s">
        <v>4474</v>
      </c>
      <c r="O296" s="2">
        <v>3.7199999999999999E-4</v>
      </c>
      <c r="P296" s="2">
        <v>16304125</v>
      </c>
      <c r="Q296" s="2">
        <v>583</v>
      </c>
    </row>
    <row r="297" spans="1:17" x14ac:dyDescent="0.25">
      <c r="A297" s="1">
        <v>43313</v>
      </c>
      <c r="B297" s="2" t="s">
        <v>4475</v>
      </c>
      <c r="C297" s="2" t="s">
        <v>4476</v>
      </c>
      <c r="D297" s="2">
        <v>25343</v>
      </c>
      <c r="E297" s="2" t="s">
        <v>4477</v>
      </c>
      <c r="F297" s="2" t="s">
        <v>4478</v>
      </c>
      <c r="G297" s="2" t="s">
        <v>4479</v>
      </c>
      <c r="H297" s="2">
        <v>6881321451.1999998</v>
      </c>
      <c r="I297" s="2">
        <v>11750</v>
      </c>
      <c r="J297" s="2">
        <v>29.670377640000002</v>
      </c>
      <c r="K297" s="2" t="s">
        <v>4480</v>
      </c>
      <c r="L297" s="2">
        <v>10070201.868100001</v>
      </c>
      <c r="M297" s="2">
        <v>65634</v>
      </c>
      <c r="N297" s="2" t="s">
        <v>4481</v>
      </c>
      <c r="O297" s="2">
        <v>4.1599999999999997E-4</v>
      </c>
      <c r="P297" s="2">
        <v>15535453</v>
      </c>
      <c r="Q297" s="2">
        <v>470</v>
      </c>
    </row>
    <row r="298" spans="1:17" x14ac:dyDescent="0.25">
      <c r="A298" s="1">
        <v>43312</v>
      </c>
      <c r="B298" s="2" t="s">
        <v>4482</v>
      </c>
      <c r="C298" s="2" t="s">
        <v>4483</v>
      </c>
      <c r="D298" s="2">
        <v>26512</v>
      </c>
      <c r="E298" s="2" t="s">
        <v>4484</v>
      </c>
      <c r="F298" s="2" t="s">
        <v>4485</v>
      </c>
      <c r="G298" s="2" t="s">
        <v>4486</v>
      </c>
      <c r="H298" s="2">
        <v>6886255608.4799995</v>
      </c>
      <c r="I298" s="2">
        <v>13275</v>
      </c>
      <c r="J298" s="2">
        <v>27.943569400000001</v>
      </c>
      <c r="K298" s="2" t="s">
        <v>4487</v>
      </c>
      <c r="L298" s="2">
        <v>10070201.868100001</v>
      </c>
      <c r="M298" s="2">
        <v>68073</v>
      </c>
      <c r="N298" s="2" t="s">
        <v>4488</v>
      </c>
      <c r="O298" s="2">
        <v>3.7399999999999998E-4</v>
      </c>
      <c r="P298" s="2">
        <v>16603773</v>
      </c>
      <c r="Q298" s="2">
        <v>531</v>
      </c>
    </row>
    <row r="299" spans="1:17" x14ac:dyDescent="0.25">
      <c r="A299" s="1">
        <v>43311</v>
      </c>
      <c r="B299" s="2" t="s">
        <v>4489</v>
      </c>
      <c r="C299" s="2" t="s">
        <v>4490</v>
      </c>
      <c r="D299" s="2">
        <v>24424</v>
      </c>
      <c r="E299" s="2" t="s">
        <v>4491</v>
      </c>
      <c r="F299" s="2" t="s">
        <v>4492</v>
      </c>
      <c r="G299" s="2" t="s">
        <v>4493</v>
      </c>
      <c r="H299" s="2">
        <v>6889315627.3500004</v>
      </c>
      <c r="I299" s="2">
        <v>12400</v>
      </c>
      <c r="J299" s="2">
        <v>26.012087600000001</v>
      </c>
      <c r="K299" s="2" t="s">
        <v>4494</v>
      </c>
      <c r="L299" s="2">
        <v>10281531.105599999</v>
      </c>
      <c r="M299" s="2">
        <v>64555</v>
      </c>
      <c r="N299" s="2" t="s">
        <v>4495</v>
      </c>
      <c r="O299" s="2">
        <v>3.7399999999999998E-4</v>
      </c>
      <c r="P299" s="2">
        <v>15494167</v>
      </c>
      <c r="Q299" s="2">
        <v>496</v>
      </c>
    </row>
    <row r="300" spans="1:17" x14ac:dyDescent="0.25">
      <c r="A300" s="1">
        <v>43310</v>
      </c>
      <c r="B300" s="2" t="s">
        <v>4496</v>
      </c>
      <c r="C300" s="2" t="s">
        <v>4497</v>
      </c>
      <c r="D300" s="2">
        <v>20677</v>
      </c>
      <c r="E300" s="2" t="s">
        <v>4498</v>
      </c>
      <c r="F300" s="2" t="s">
        <v>4499</v>
      </c>
      <c r="G300" s="2" t="s">
        <v>4500</v>
      </c>
      <c r="H300" s="2">
        <v>6893400876.9399996</v>
      </c>
      <c r="I300" s="2">
        <v>14775</v>
      </c>
      <c r="J300" s="2">
        <v>21.81076719</v>
      </c>
      <c r="K300" s="2" t="s">
        <v>4501</v>
      </c>
      <c r="L300" s="2">
        <v>10449981.9471</v>
      </c>
      <c r="M300" s="2">
        <v>62733</v>
      </c>
      <c r="N300" s="2" t="s">
        <v>4502</v>
      </c>
      <c r="O300" s="2">
        <v>3.7399999999999998E-4</v>
      </c>
      <c r="P300" s="2">
        <v>13676789</v>
      </c>
      <c r="Q300" s="2">
        <v>591</v>
      </c>
    </row>
    <row r="301" spans="1:17" x14ac:dyDescent="0.25">
      <c r="A301" s="1">
        <v>43309</v>
      </c>
      <c r="B301" s="2" t="s">
        <v>4503</v>
      </c>
      <c r="C301" s="2" t="s">
        <v>4504</v>
      </c>
      <c r="D301" s="2">
        <v>20812</v>
      </c>
      <c r="E301" s="2" t="s">
        <v>4505</v>
      </c>
      <c r="F301" s="2" t="s">
        <v>4506</v>
      </c>
      <c r="G301" s="2" t="s">
        <v>4507</v>
      </c>
      <c r="H301" s="2">
        <v>6894090720.7299995</v>
      </c>
      <c r="I301" s="2">
        <v>14175</v>
      </c>
      <c r="J301" s="2">
        <v>20.556187170000001</v>
      </c>
      <c r="K301" s="2" t="s">
        <v>4508</v>
      </c>
      <c r="L301" s="2">
        <v>10449981.9471</v>
      </c>
      <c r="M301" s="2">
        <v>61151</v>
      </c>
      <c r="N301" s="2" t="s">
        <v>4509</v>
      </c>
      <c r="O301" s="2">
        <v>3.7399999999999998E-4</v>
      </c>
      <c r="P301" s="2">
        <v>12562615</v>
      </c>
      <c r="Q301" s="2">
        <v>567</v>
      </c>
    </row>
    <row r="302" spans="1:17" x14ac:dyDescent="0.25">
      <c r="A302" s="1">
        <v>43308</v>
      </c>
      <c r="B302" s="2" t="s">
        <v>4510</v>
      </c>
      <c r="C302" s="2" t="s">
        <v>4511</v>
      </c>
      <c r="D302" s="2">
        <v>23944</v>
      </c>
      <c r="E302" s="2" t="s">
        <v>4512</v>
      </c>
      <c r="F302" s="2" t="s">
        <v>4513</v>
      </c>
      <c r="G302" s="2" t="s">
        <v>4514</v>
      </c>
      <c r="H302" s="2">
        <v>6894537150.1099997</v>
      </c>
      <c r="I302" s="2">
        <v>12900</v>
      </c>
      <c r="J302" s="2">
        <v>22.744535849999998</v>
      </c>
      <c r="K302" s="2" t="s">
        <v>4515</v>
      </c>
      <c r="L302" s="2">
        <v>10449981.9471</v>
      </c>
      <c r="M302" s="2">
        <v>65464</v>
      </c>
      <c r="N302" s="2" t="s">
        <v>4516</v>
      </c>
      <c r="O302" s="2">
        <v>3.7399999999999998E-4</v>
      </c>
      <c r="P302" s="2">
        <v>14560441</v>
      </c>
      <c r="Q302" s="2">
        <v>516</v>
      </c>
    </row>
    <row r="303" spans="1:17" x14ac:dyDescent="0.25">
      <c r="A303" s="1">
        <v>43307</v>
      </c>
      <c r="B303" s="2" t="s">
        <v>4517</v>
      </c>
      <c r="C303" s="2" t="s">
        <v>4518</v>
      </c>
      <c r="D303" s="2">
        <v>24811</v>
      </c>
      <c r="E303" s="2" t="s">
        <v>4519</v>
      </c>
      <c r="F303" s="2" t="s">
        <v>4520</v>
      </c>
      <c r="G303" s="2" t="s">
        <v>4521</v>
      </c>
      <c r="H303" s="2">
        <v>6895493739.96</v>
      </c>
      <c r="I303" s="2">
        <v>16125</v>
      </c>
      <c r="J303" s="2">
        <v>26.099188130000002</v>
      </c>
      <c r="K303" s="2" t="s">
        <v>4522</v>
      </c>
      <c r="L303" s="2">
        <v>9606819.2985699996</v>
      </c>
      <c r="M303" s="2">
        <v>65486</v>
      </c>
      <c r="N303" s="2" t="s">
        <v>4523</v>
      </c>
      <c r="O303" s="2">
        <v>3.7399999999999998E-4</v>
      </c>
      <c r="P303" s="2">
        <v>15807984</v>
      </c>
      <c r="Q303" s="2">
        <v>645</v>
      </c>
    </row>
    <row r="304" spans="1:17" x14ac:dyDescent="0.25">
      <c r="A304" s="1">
        <v>43306</v>
      </c>
      <c r="B304" s="2" t="s">
        <v>4524</v>
      </c>
      <c r="C304" s="2" t="s">
        <v>4525</v>
      </c>
      <c r="D304" s="2">
        <v>26322</v>
      </c>
      <c r="E304" s="2" t="s">
        <v>4526</v>
      </c>
      <c r="F304" s="2" t="s">
        <v>4527</v>
      </c>
      <c r="G304" s="2" t="s">
        <v>4528</v>
      </c>
      <c r="H304" s="2">
        <v>6899345310.2600002</v>
      </c>
      <c r="I304" s="2">
        <v>15575</v>
      </c>
      <c r="J304" s="2">
        <v>28.049748789999999</v>
      </c>
      <c r="K304" s="2" t="s">
        <v>4529</v>
      </c>
      <c r="L304" s="2">
        <v>9510707.4940699991</v>
      </c>
      <c r="M304" s="2">
        <v>68499</v>
      </c>
      <c r="N304" s="2" t="s">
        <v>4530</v>
      </c>
      <c r="O304" s="2">
        <v>4.1199999999999999E-4</v>
      </c>
      <c r="P304" s="2">
        <v>17587788</v>
      </c>
      <c r="Q304" s="2">
        <v>623</v>
      </c>
    </row>
    <row r="305" spans="1:17" x14ac:dyDescent="0.25">
      <c r="A305" s="1">
        <v>43305</v>
      </c>
      <c r="B305" s="2" t="s">
        <v>4531</v>
      </c>
      <c r="C305" s="2" t="s">
        <v>4532</v>
      </c>
      <c r="D305" s="2">
        <v>27110</v>
      </c>
      <c r="E305" s="2" t="s">
        <v>4533</v>
      </c>
      <c r="F305" s="2" t="s">
        <v>4534</v>
      </c>
      <c r="G305" s="2" t="s">
        <v>4535</v>
      </c>
      <c r="H305" s="2">
        <v>6907536428.3900003</v>
      </c>
      <c r="I305" s="2">
        <v>15750</v>
      </c>
      <c r="J305" s="2">
        <v>27.899834179999999</v>
      </c>
      <c r="K305" s="2" t="s">
        <v>4536</v>
      </c>
      <c r="L305" s="2">
        <v>9510707.4940699991</v>
      </c>
      <c r="M305" s="2">
        <v>69121</v>
      </c>
      <c r="N305" s="2" t="s">
        <v>4534</v>
      </c>
      <c r="O305" s="2">
        <v>4.1199999999999999E-4</v>
      </c>
      <c r="P305" s="2">
        <v>16683918</v>
      </c>
      <c r="Q305" s="2">
        <v>630</v>
      </c>
    </row>
    <row r="306" spans="1:17" x14ac:dyDescent="0.25">
      <c r="A306" s="1">
        <v>43304</v>
      </c>
      <c r="B306" s="2" t="s">
        <v>4537</v>
      </c>
      <c r="C306" s="2" t="s">
        <v>4538</v>
      </c>
      <c r="D306" s="2">
        <v>24764</v>
      </c>
      <c r="E306" s="2" t="s">
        <v>4539</v>
      </c>
      <c r="F306" s="2" t="s">
        <v>4540</v>
      </c>
      <c r="G306" s="2" t="s">
        <v>4541</v>
      </c>
      <c r="H306" s="2">
        <v>6906168681.4499998</v>
      </c>
      <c r="I306" s="2">
        <v>15425</v>
      </c>
      <c r="J306" s="2">
        <v>26.366942290000001</v>
      </c>
      <c r="K306" s="2" t="s">
        <v>4542</v>
      </c>
      <c r="L306" s="2">
        <v>9869275.5170699991</v>
      </c>
      <c r="M306" s="2">
        <v>66144</v>
      </c>
      <c r="N306" s="2" t="s">
        <v>4543</v>
      </c>
      <c r="O306" s="2">
        <v>3.7399999999999998E-4</v>
      </c>
      <c r="P306" s="2">
        <v>16411962</v>
      </c>
      <c r="Q306" s="2">
        <v>617</v>
      </c>
    </row>
    <row r="307" spans="1:17" x14ac:dyDescent="0.25">
      <c r="A307" s="1">
        <v>43303</v>
      </c>
      <c r="B307" s="2" t="s">
        <v>4544</v>
      </c>
      <c r="C307" s="2" t="s">
        <v>4545</v>
      </c>
      <c r="D307" s="2">
        <v>20243</v>
      </c>
      <c r="E307" s="2" t="s">
        <v>4546</v>
      </c>
      <c r="F307" s="2" t="s">
        <v>4547</v>
      </c>
      <c r="G307" s="2" t="s">
        <v>4548</v>
      </c>
      <c r="H307" s="2">
        <v>6913426734.6000004</v>
      </c>
      <c r="I307" s="2">
        <v>13225</v>
      </c>
      <c r="J307" s="2">
        <v>20.244907189999999</v>
      </c>
      <c r="K307" s="2" t="s">
        <v>4549</v>
      </c>
      <c r="L307" s="2">
        <v>10021646.224300001</v>
      </c>
      <c r="M307" s="2">
        <v>60727</v>
      </c>
      <c r="N307" s="2" t="s">
        <v>4550</v>
      </c>
      <c r="O307" s="2">
        <v>3.7399999999999998E-4</v>
      </c>
      <c r="P307" s="2">
        <v>13111760</v>
      </c>
      <c r="Q307" s="2">
        <v>529</v>
      </c>
    </row>
    <row r="308" spans="1:17" x14ac:dyDescent="0.25">
      <c r="A308" s="1">
        <v>43302</v>
      </c>
      <c r="B308" s="2" t="s">
        <v>4551</v>
      </c>
      <c r="C308" s="2" t="s">
        <v>4552</v>
      </c>
      <c r="D308" s="2">
        <v>21282</v>
      </c>
      <c r="E308" s="2" t="s">
        <v>4553</v>
      </c>
      <c r="F308" s="2" t="s">
        <v>4554</v>
      </c>
      <c r="G308" s="2" t="s">
        <v>4555</v>
      </c>
      <c r="H308" s="2">
        <v>6919405148.1300001</v>
      </c>
      <c r="I308" s="2">
        <v>13150</v>
      </c>
      <c r="J308" s="2">
        <v>20.752887399999999</v>
      </c>
      <c r="K308" s="2" t="s">
        <v>4556</v>
      </c>
      <c r="L308" s="2">
        <v>10021646.224300001</v>
      </c>
      <c r="M308" s="2">
        <v>69214</v>
      </c>
      <c r="N308" s="2" t="s">
        <v>4557</v>
      </c>
      <c r="O308" s="2">
        <v>3.7399999999999998E-4</v>
      </c>
      <c r="P308" s="2">
        <v>13090451</v>
      </c>
      <c r="Q308" s="2">
        <v>526</v>
      </c>
    </row>
    <row r="309" spans="1:17" x14ac:dyDescent="0.25">
      <c r="A309" s="1">
        <v>43301</v>
      </c>
      <c r="B309" s="2" t="s">
        <v>4558</v>
      </c>
      <c r="C309" s="2" t="s">
        <v>4559</v>
      </c>
      <c r="D309" s="2">
        <v>26160</v>
      </c>
      <c r="E309" s="2" t="s">
        <v>4560</v>
      </c>
      <c r="F309" s="2" t="s">
        <v>4561</v>
      </c>
      <c r="G309" s="2" t="s">
        <v>4562</v>
      </c>
      <c r="H309" s="2">
        <v>6922048809.9399996</v>
      </c>
      <c r="I309" s="2">
        <v>13775</v>
      </c>
      <c r="J309" s="2">
        <v>24.96795131</v>
      </c>
      <c r="K309" s="2" t="s">
        <v>4563</v>
      </c>
      <c r="L309" s="2">
        <v>10007937.919199999</v>
      </c>
      <c r="M309" s="2">
        <v>75908</v>
      </c>
      <c r="N309" s="2" t="s">
        <v>4564</v>
      </c>
      <c r="O309" s="2">
        <v>3.6231000000000002E-4</v>
      </c>
      <c r="P309" s="2">
        <v>16102156</v>
      </c>
      <c r="Q309" s="2">
        <v>551</v>
      </c>
    </row>
    <row r="310" spans="1:17" x14ac:dyDescent="0.25">
      <c r="A310" s="1">
        <v>43300</v>
      </c>
      <c r="B310" s="2" t="s">
        <v>4565</v>
      </c>
      <c r="C310" s="2" t="s">
        <v>4566</v>
      </c>
      <c r="D310" s="2">
        <v>24101</v>
      </c>
      <c r="E310" s="2" t="s">
        <v>4567</v>
      </c>
      <c r="F310" s="2" t="s">
        <v>4568</v>
      </c>
      <c r="G310" s="2" t="s">
        <v>4569</v>
      </c>
      <c r="H310" s="2">
        <v>6924830856.2299995</v>
      </c>
      <c r="I310" s="2">
        <v>14300</v>
      </c>
      <c r="J310" s="2">
        <v>24.84570501</v>
      </c>
      <c r="K310" s="2" t="s">
        <v>4570</v>
      </c>
      <c r="L310" s="2">
        <v>9693242.9145999998</v>
      </c>
      <c r="M310" s="2">
        <v>66413</v>
      </c>
      <c r="N310" s="2" t="s">
        <v>4571</v>
      </c>
      <c r="O310" s="2">
        <v>3.7399999999999998E-4</v>
      </c>
      <c r="P310" s="2">
        <v>15090210</v>
      </c>
      <c r="Q310" s="2">
        <v>572</v>
      </c>
    </row>
    <row r="311" spans="1:17" x14ac:dyDescent="0.25">
      <c r="A311" s="1">
        <v>43299</v>
      </c>
      <c r="B311" s="2" t="s">
        <v>4572</v>
      </c>
      <c r="C311" s="2" t="s">
        <v>4573</v>
      </c>
      <c r="D311" s="2">
        <v>27438</v>
      </c>
      <c r="E311" s="2" t="s">
        <v>4574</v>
      </c>
      <c r="F311" s="2" t="s">
        <v>4575</v>
      </c>
      <c r="G311" s="2" t="s">
        <v>4576</v>
      </c>
      <c r="H311" s="2">
        <v>6925516612.21</v>
      </c>
      <c r="I311" s="2">
        <v>14700</v>
      </c>
      <c r="J311" s="2">
        <v>28.612019060000002</v>
      </c>
      <c r="K311" s="2" t="s">
        <v>4577</v>
      </c>
      <c r="L311" s="2">
        <v>9693242.9145999998</v>
      </c>
      <c r="M311" s="2">
        <v>68530</v>
      </c>
      <c r="N311" s="2" t="s">
        <v>4578</v>
      </c>
      <c r="O311" s="2">
        <v>3.4022000000000002E-4</v>
      </c>
      <c r="P311" s="2">
        <v>17430464</v>
      </c>
      <c r="Q311" s="2">
        <v>588</v>
      </c>
    </row>
    <row r="312" spans="1:17" x14ac:dyDescent="0.25">
      <c r="A312" s="1">
        <v>43298</v>
      </c>
      <c r="B312" s="2" t="s">
        <v>4579</v>
      </c>
      <c r="C312" s="2" t="s">
        <v>4580</v>
      </c>
      <c r="D312" s="2">
        <v>26348</v>
      </c>
      <c r="E312" s="2" t="s">
        <v>4581</v>
      </c>
      <c r="F312" s="2" t="s">
        <v>4582</v>
      </c>
      <c r="G312" s="2" t="s">
        <v>4583</v>
      </c>
      <c r="H312" s="2">
        <v>6932711919.6199999</v>
      </c>
      <c r="I312" s="2">
        <v>15100</v>
      </c>
      <c r="J312" s="2">
        <v>28.126292660000001</v>
      </c>
      <c r="K312" s="2" t="s">
        <v>4584</v>
      </c>
      <c r="L312" s="2">
        <v>9693242.9145999998</v>
      </c>
      <c r="M312" s="2">
        <v>67974</v>
      </c>
      <c r="N312" s="2" t="s">
        <v>4585</v>
      </c>
      <c r="O312" s="2">
        <v>3.7199999999999999E-4</v>
      </c>
      <c r="P312" s="2">
        <v>17132893</v>
      </c>
      <c r="Q312" s="2">
        <v>604</v>
      </c>
    </row>
    <row r="313" spans="1:17" x14ac:dyDescent="0.25">
      <c r="A313" s="1">
        <v>43297</v>
      </c>
      <c r="B313" s="2" t="s">
        <v>4586</v>
      </c>
      <c r="C313" s="2" t="s">
        <v>4587</v>
      </c>
      <c r="D313" s="2">
        <v>24580</v>
      </c>
      <c r="E313" s="2" t="s">
        <v>4588</v>
      </c>
      <c r="F313" s="2" t="s">
        <v>4589</v>
      </c>
      <c r="G313" s="2" t="s">
        <v>4590</v>
      </c>
      <c r="H313" s="2">
        <v>6941231159.1000004</v>
      </c>
      <c r="I313" s="2">
        <v>15850</v>
      </c>
      <c r="J313" s="2">
        <v>25.95470783</v>
      </c>
      <c r="K313" s="2" t="s">
        <v>4591</v>
      </c>
      <c r="L313" s="2">
        <v>9447382.8774699997</v>
      </c>
      <c r="M313" s="2">
        <v>65363</v>
      </c>
      <c r="N313" s="2" t="s">
        <v>4592</v>
      </c>
      <c r="O313" s="2">
        <v>3.7399999999999998E-4</v>
      </c>
      <c r="P313" s="2">
        <v>16138435</v>
      </c>
      <c r="Q313" s="2">
        <v>634</v>
      </c>
    </row>
    <row r="314" spans="1:17" x14ac:dyDescent="0.25">
      <c r="A314" s="1">
        <v>43296</v>
      </c>
      <c r="B314" s="2" t="s">
        <v>4593</v>
      </c>
      <c r="C314" s="2" t="s">
        <v>4594</v>
      </c>
      <c r="D314" s="2">
        <v>20578</v>
      </c>
      <c r="E314" s="2" t="s">
        <v>4595</v>
      </c>
      <c r="F314" s="2" t="s">
        <v>4596</v>
      </c>
      <c r="G314" s="2" t="s">
        <v>4597</v>
      </c>
      <c r="H314" s="2">
        <v>6945414689.54</v>
      </c>
      <c r="I314" s="2">
        <v>15125</v>
      </c>
      <c r="J314" s="2">
        <v>23.234452860000001</v>
      </c>
      <c r="K314" s="2" t="s">
        <v>4598</v>
      </c>
      <c r="L314" s="2">
        <v>9308365.7206699997</v>
      </c>
      <c r="M314" s="2">
        <v>69427</v>
      </c>
      <c r="N314" s="2" t="s">
        <v>4599</v>
      </c>
      <c r="O314" s="2">
        <v>3.7399999999999998E-4</v>
      </c>
      <c r="P314" s="2">
        <v>14247283</v>
      </c>
      <c r="Q314" s="2">
        <v>605</v>
      </c>
    </row>
    <row r="315" spans="1:17" x14ac:dyDescent="0.25">
      <c r="A315" s="1">
        <v>43295</v>
      </c>
      <c r="B315" s="2" t="s">
        <v>4600</v>
      </c>
      <c r="C315" s="2" t="s">
        <v>4601</v>
      </c>
      <c r="D315" s="2">
        <v>20652</v>
      </c>
      <c r="E315" s="2" t="s">
        <v>4602</v>
      </c>
      <c r="F315" s="2" t="s">
        <v>4603</v>
      </c>
      <c r="G315" s="2" t="s">
        <v>4604</v>
      </c>
      <c r="H315" s="2">
        <v>6946304751.7700005</v>
      </c>
      <c r="I315" s="2">
        <v>14850</v>
      </c>
      <c r="J315" s="2">
        <v>21.023930249999999</v>
      </c>
      <c r="K315" s="2" t="s">
        <v>4605</v>
      </c>
      <c r="L315" s="2">
        <v>9308365.7206699997</v>
      </c>
      <c r="M315" s="2">
        <v>52067</v>
      </c>
      <c r="N315" s="2" t="s">
        <v>4606</v>
      </c>
      <c r="O315" s="2">
        <v>3.7399999999999998E-4</v>
      </c>
      <c r="P315" s="2">
        <v>13275571</v>
      </c>
      <c r="Q315" s="2">
        <v>594</v>
      </c>
    </row>
    <row r="316" spans="1:17" x14ac:dyDescent="0.25">
      <c r="A316" s="1">
        <v>43294</v>
      </c>
      <c r="B316" s="2" t="s">
        <v>4607</v>
      </c>
      <c r="C316" s="2" t="s">
        <v>4608</v>
      </c>
      <c r="D316" s="2">
        <v>22931</v>
      </c>
      <c r="E316" s="2" t="s">
        <v>4609</v>
      </c>
      <c r="F316" s="2" t="s">
        <v>2637</v>
      </c>
      <c r="G316" s="2" t="s">
        <v>4610</v>
      </c>
      <c r="H316" s="2">
        <v>6948085851.4200001</v>
      </c>
      <c r="I316" s="2">
        <v>14575</v>
      </c>
      <c r="J316" s="2">
        <v>25.10486732</v>
      </c>
      <c r="K316" s="2" t="s">
        <v>4611</v>
      </c>
      <c r="L316" s="2">
        <v>9418499.7191799991</v>
      </c>
      <c r="M316" s="2">
        <v>61297</v>
      </c>
      <c r="N316" s="2" t="s">
        <v>4612</v>
      </c>
      <c r="O316" s="2">
        <v>3.7399999999999998E-4</v>
      </c>
      <c r="P316" s="2">
        <v>15239363</v>
      </c>
      <c r="Q316" s="2">
        <v>583</v>
      </c>
    </row>
    <row r="317" spans="1:17" x14ac:dyDescent="0.25">
      <c r="A317" s="1">
        <v>43293</v>
      </c>
      <c r="B317" s="2" t="s">
        <v>4613</v>
      </c>
      <c r="C317" s="2" t="s">
        <v>4614</v>
      </c>
      <c r="D317" s="2">
        <v>23309</v>
      </c>
      <c r="E317" s="2" t="s">
        <v>4615</v>
      </c>
      <c r="F317" s="2" t="s">
        <v>4616</v>
      </c>
      <c r="G317" s="2" t="s">
        <v>4617</v>
      </c>
      <c r="H317" s="2">
        <v>6953768881.1599998</v>
      </c>
      <c r="I317" s="2">
        <v>14025</v>
      </c>
      <c r="J317" s="2">
        <v>26.25291352</v>
      </c>
      <c r="K317" s="2" t="s">
        <v>4618</v>
      </c>
      <c r="L317" s="2">
        <v>9683851.8091599997</v>
      </c>
      <c r="M317" s="2">
        <v>62872</v>
      </c>
      <c r="N317" s="2" t="s">
        <v>4616</v>
      </c>
      <c r="O317" s="2">
        <v>3.7399999999999998E-4</v>
      </c>
      <c r="P317" s="2">
        <v>15246535</v>
      </c>
      <c r="Q317" s="2">
        <v>561</v>
      </c>
    </row>
    <row r="318" spans="1:17" x14ac:dyDescent="0.25">
      <c r="A318" s="1">
        <v>43292</v>
      </c>
      <c r="B318" s="2" t="s">
        <v>4619</v>
      </c>
      <c r="C318" s="2" t="s">
        <v>4620</v>
      </c>
      <c r="D318" s="2">
        <v>23993</v>
      </c>
      <c r="E318" s="2" t="s">
        <v>4621</v>
      </c>
      <c r="F318" s="2" t="s">
        <v>4622</v>
      </c>
      <c r="G318" s="2" t="s">
        <v>4623</v>
      </c>
      <c r="H318" s="2">
        <v>6960588256.4200001</v>
      </c>
      <c r="I318" s="2">
        <v>13850</v>
      </c>
      <c r="J318" s="2">
        <v>25.070644430000002</v>
      </c>
      <c r="K318" s="2" t="s">
        <v>4624</v>
      </c>
      <c r="L318" s="2">
        <v>9683851.8091599997</v>
      </c>
      <c r="M318" s="2">
        <v>65005</v>
      </c>
      <c r="N318" s="2" t="s">
        <v>4625</v>
      </c>
      <c r="O318" s="2">
        <v>3.7199999999999999E-4</v>
      </c>
      <c r="P318" s="2">
        <v>14546759</v>
      </c>
      <c r="Q318" s="2">
        <v>554</v>
      </c>
    </row>
    <row r="319" spans="1:17" x14ac:dyDescent="0.25">
      <c r="A319" s="1">
        <v>43291</v>
      </c>
      <c r="B319" s="2" t="s">
        <v>4626</v>
      </c>
      <c r="C319" s="2" t="s">
        <v>4627</v>
      </c>
      <c r="D319" s="2">
        <v>25265</v>
      </c>
      <c r="E319" s="2" t="s">
        <v>4628</v>
      </c>
      <c r="F319" s="2" t="s">
        <v>4629</v>
      </c>
      <c r="G319" s="2" t="s">
        <v>4630</v>
      </c>
      <c r="H319" s="2">
        <v>6964101547.4799995</v>
      </c>
      <c r="I319" s="2">
        <v>12900</v>
      </c>
      <c r="J319" s="2">
        <v>28.469429479999999</v>
      </c>
      <c r="K319" s="2" t="s">
        <v>4631</v>
      </c>
      <c r="L319" s="2">
        <v>9683851.8091599997</v>
      </c>
      <c r="M319" s="2">
        <v>68254</v>
      </c>
      <c r="N319" s="2" t="s">
        <v>4632</v>
      </c>
      <c r="O319" s="2">
        <v>3.6914000000000001E-4</v>
      </c>
      <c r="P319" s="2">
        <v>18207392</v>
      </c>
      <c r="Q319" s="2">
        <v>516</v>
      </c>
    </row>
    <row r="320" spans="1:17" x14ac:dyDescent="0.25">
      <c r="A320" s="1">
        <v>43290</v>
      </c>
      <c r="B320" s="2" t="s">
        <v>4633</v>
      </c>
      <c r="C320" s="2" t="s">
        <v>4634</v>
      </c>
      <c r="D320" s="2">
        <v>25370</v>
      </c>
      <c r="E320" s="2" t="s">
        <v>4635</v>
      </c>
      <c r="F320" s="2" t="s">
        <v>4636</v>
      </c>
      <c r="G320" s="2" t="s">
        <v>4637</v>
      </c>
      <c r="H320" s="2">
        <v>6974324711.3900003</v>
      </c>
      <c r="I320" s="2">
        <v>15612.5</v>
      </c>
      <c r="J320" s="2">
        <v>28.009370440000001</v>
      </c>
      <c r="K320" s="2" t="s">
        <v>4638</v>
      </c>
      <c r="L320" s="2">
        <v>9387023.1218500007</v>
      </c>
      <c r="M320" s="2">
        <v>68340</v>
      </c>
      <c r="N320" s="2" t="s">
        <v>4639</v>
      </c>
      <c r="O320" s="2">
        <v>3.7399999999999998E-4</v>
      </c>
      <c r="P320" s="2">
        <v>17121691</v>
      </c>
      <c r="Q320" s="2">
        <v>625</v>
      </c>
    </row>
    <row r="321" spans="1:17" x14ac:dyDescent="0.25">
      <c r="A321" s="1">
        <v>43289</v>
      </c>
      <c r="B321" s="2" t="s">
        <v>4640</v>
      </c>
      <c r="C321" s="2" t="s">
        <v>4641</v>
      </c>
      <c r="D321" s="2">
        <v>23498</v>
      </c>
      <c r="E321" s="2" t="s">
        <v>4642</v>
      </c>
      <c r="F321" s="2" t="s">
        <v>4643</v>
      </c>
      <c r="G321" s="2" t="s">
        <v>4644</v>
      </c>
      <c r="H321" s="2">
        <v>6979657065.75</v>
      </c>
      <c r="I321" s="2">
        <v>15075</v>
      </c>
      <c r="J321" s="2">
        <v>29.670559390000001</v>
      </c>
      <c r="K321" s="2" t="s">
        <v>4645</v>
      </c>
      <c r="L321" s="2">
        <v>9232469.98539</v>
      </c>
      <c r="M321" s="2">
        <v>67154</v>
      </c>
      <c r="N321" s="2" t="s">
        <v>4646</v>
      </c>
      <c r="O321" s="2">
        <v>4.0999999999999999E-4</v>
      </c>
      <c r="P321" s="2">
        <v>17812934</v>
      </c>
      <c r="Q321" s="2">
        <v>603</v>
      </c>
    </row>
    <row r="322" spans="1:17" x14ac:dyDescent="0.25">
      <c r="A322" s="1">
        <v>43288</v>
      </c>
      <c r="B322" s="2" t="s">
        <v>4647</v>
      </c>
      <c r="C322" s="2" t="s">
        <v>4648</v>
      </c>
      <c r="D322" s="2">
        <v>22246</v>
      </c>
      <c r="E322" s="2" t="s">
        <v>4649</v>
      </c>
      <c r="F322" s="2" t="s">
        <v>4650</v>
      </c>
      <c r="G322" s="2" t="s">
        <v>4651</v>
      </c>
      <c r="H322" s="2">
        <v>6986232507.4099998</v>
      </c>
      <c r="I322" s="2">
        <v>14900</v>
      </c>
      <c r="J322" s="2">
        <v>23.53000269</v>
      </c>
      <c r="K322" s="2" t="s">
        <v>4652</v>
      </c>
      <c r="L322" s="2">
        <v>9232469.98539</v>
      </c>
      <c r="M322" s="2">
        <v>63055</v>
      </c>
      <c r="N322" s="2" t="s">
        <v>4650</v>
      </c>
      <c r="O322" s="2">
        <v>3.7399999999999998E-4</v>
      </c>
      <c r="P322" s="2">
        <v>13680642</v>
      </c>
      <c r="Q322" s="2">
        <v>596</v>
      </c>
    </row>
    <row r="323" spans="1:17" x14ac:dyDescent="0.25">
      <c r="A323" s="1">
        <v>43287</v>
      </c>
      <c r="B323" s="2" t="s">
        <v>4653</v>
      </c>
      <c r="C323" s="2" t="s">
        <v>4654</v>
      </c>
      <c r="D323" s="2">
        <v>23975</v>
      </c>
      <c r="E323" s="2" t="s">
        <v>4655</v>
      </c>
      <c r="F323" s="2" t="s">
        <v>4656</v>
      </c>
      <c r="G323" s="2" t="s">
        <v>4657</v>
      </c>
      <c r="H323" s="2">
        <v>6993028685.8299999</v>
      </c>
      <c r="I323" s="2">
        <v>14675</v>
      </c>
      <c r="J323" s="2">
        <v>24.962150260000001</v>
      </c>
      <c r="K323" s="2" t="s">
        <v>4658</v>
      </c>
      <c r="L323" s="2">
        <v>9429041.3533100002</v>
      </c>
      <c r="M323" s="2">
        <v>65064</v>
      </c>
      <c r="N323" s="2" t="s">
        <v>4659</v>
      </c>
      <c r="O323" s="2">
        <v>3.6914000000000001E-4</v>
      </c>
      <c r="P323" s="2">
        <v>14714468</v>
      </c>
      <c r="Q323" s="2">
        <v>587</v>
      </c>
    </row>
    <row r="324" spans="1:17" x14ac:dyDescent="0.25">
      <c r="A324" s="1">
        <v>43286</v>
      </c>
      <c r="B324" s="2" t="s">
        <v>4660</v>
      </c>
      <c r="C324" s="2" t="s">
        <v>4661</v>
      </c>
      <c r="D324" s="2">
        <v>24041</v>
      </c>
      <c r="E324" s="2" t="s">
        <v>4662</v>
      </c>
      <c r="F324" s="2" t="s">
        <v>4663</v>
      </c>
      <c r="G324" s="2" t="s">
        <v>4664</v>
      </c>
      <c r="H324" s="2">
        <v>6996761894.5900002</v>
      </c>
      <c r="I324" s="2">
        <v>13300</v>
      </c>
      <c r="J324" s="2">
        <v>25.213760369999999</v>
      </c>
      <c r="K324" s="2" t="s">
        <v>4665</v>
      </c>
      <c r="L324" s="2">
        <v>9869969.3940600008</v>
      </c>
      <c r="M324" s="2">
        <v>66375</v>
      </c>
      <c r="N324" s="2" t="s">
        <v>4666</v>
      </c>
      <c r="O324" s="2">
        <v>3.4000000000000002E-4</v>
      </c>
      <c r="P324" s="2">
        <v>14801079</v>
      </c>
      <c r="Q324" s="2">
        <v>532</v>
      </c>
    </row>
    <row r="325" spans="1:17" x14ac:dyDescent="0.25">
      <c r="A325" s="1">
        <v>43285</v>
      </c>
      <c r="B325" s="2" t="s">
        <v>4667</v>
      </c>
      <c r="C325" s="2" t="s">
        <v>4668</v>
      </c>
      <c r="D325" s="2">
        <v>23752</v>
      </c>
      <c r="E325" s="2" t="s">
        <v>4669</v>
      </c>
      <c r="F325" s="2" t="s">
        <v>2763</v>
      </c>
      <c r="G325" s="2" t="s">
        <v>4670</v>
      </c>
      <c r="H325" s="2">
        <v>7000130186.1700001</v>
      </c>
      <c r="I325" s="2">
        <v>13275</v>
      </c>
      <c r="J325" s="2">
        <v>27.23226931</v>
      </c>
      <c r="K325" s="2" t="s">
        <v>4671</v>
      </c>
      <c r="L325" s="2">
        <v>9869969.3940600008</v>
      </c>
      <c r="M325" s="2">
        <v>68244</v>
      </c>
      <c r="N325" s="2" t="s">
        <v>4672</v>
      </c>
      <c r="O325" s="2">
        <v>3.7399999999999998E-4</v>
      </c>
      <c r="P325" s="2">
        <v>15491905</v>
      </c>
      <c r="Q325" s="2">
        <v>531</v>
      </c>
    </row>
    <row r="326" spans="1:17" x14ac:dyDescent="0.25">
      <c r="A326" s="1">
        <v>43284</v>
      </c>
      <c r="B326" s="2" t="s">
        <v>4673</v>
      </c>
      <c r="C326" s="2" t="s">
        <v>4674</v>
      </c>
      <c r="D326" s="2">
        <v>24786</v>
      </c>
      <c r="E326" s="2" t="s">
        <v>4675</v>
      </c>
      <c r="F326" s="2" t="s">
        <v>4676</v>
      </c>
      <c r="G326" s="2" t="s">
        <v>4677</v>
      </c>
      <c r="H326" s="2">
        <v>7003259744.75</v>
      </c>
      <c r="I326" s="2">
        <v>13425</v>
      </c>
      <c r="J326" s="2">
        <v>27.17809549</v>
      </c>
      <c r="K326" s="2" t="s">
        <v>4678</v>
      </c>
      <c r="L326" s="2">
        <v>9869969.3940600008</v>
      </c>
      <c r="M326" s="2">
        <v>67070</v>
      </c>
      <c r="N326" s="2" t="s">
        <v>4679</v>
      </c>
      <c r="O326" s="2">
        <v>3.7399999999999998E-4</v>
      </c>
      <c r="P326" s="2">
        <v>15644737</v>
      </c>
      <c r="Q326" s="2">
        <v>537</v>
      </c>
    </row>
    <row r="327" spans="1:17" x14ac:dyDescent="0.25">
      <c r="A327" s="1">
        <v>43283</v>
      </c>
      <c r="B327" s="2" t="s">
        <v>4680</v>
      </c>
      <c r="C327" s="2" t="s">
        <v>4681</v>
      </c>
      <c r="D327" s="2">
        <v>24424</v>
      </c>
      <c r="E327" s="2" t="s">
        <v>4682</v>
      </c>
      <c r="F327" s="2" t="s">
        <v>4683</v>
      </c>
      <c r="G327" s="2" t="s">
        <v>4684</v>
      </c>
      <c r="H327" s="2">
        <v>7005719789.5900002</v>
      </c>
      <c r="I327" s="2">
        <v>12975</v>
      </c>
      <c r="J327" s="2">
        <v>26.793433239999999</v>
      </c>
      <c r="K327" s="2" t="s">
        <v>4685</v>
      </c>
      <c r="L327" s="2">
        <v>9817254.6566300001</v>
      </c>
      <c r="M327" s="2">
        <v>66810</v>
      </c>
      <c r="N327" s="2" t="s">
        <v>4686</v>
      </c>
      <c r="O327" s="2">
        <v>3.7399999999999998E-4</v>
      </c>
      <c r="P327" s="2">
        <v>18617716</v>
      </c>
      <c r="Q327" s="2">
        <v>519</v>
      </c>
    </row>
    <row r="328" spans="1:17" x14ac:dyDescent="0.25">
      <c r="A328" s="1">
        <v>43282</v>
      </c>
      <c r="B328" s="2" t="s">
        <v>4687</v>
      </c>
      <c r="C328" s="2" t="s">
        <v>4688</v>
      </c>
      <c r="D328" s="2">
        <v>19808</v>
      </c>
      <c r="E328" s="2" t="s">
        <v>4689</v>
      </c>
      <c r="F328" s="2" t="s">
        <v>4690</v>
      </c>
      <c r="G328" s="2" t="s">
        <v>4691</v>
      </c>
      <c r="H328" s="2">
        <v>7019646572.8900003</v>
      </c>
      <c r="I328" s="2">
        <v>14050</v>
      </c>
      <c r="J328" s="2">
        <v>22.551490560000001</v>
      </c>
      <c r="K328" s="2" t="s">
        <v>4692</v>
      </c>
      <c r="L328" s="2">
        <v>9773635.0675600003</v>
      </c>
      <c r="M328" s="2">
        <v>63975</v>
      </c>
      <c r="N328" s="2" t="s">
        <v>4693</v>
      </c>
      <c r="O328" s="2">
        <v>3.7399999999999998E-4</v>
      </c>
      <c r="P328" s="2">
        <v>13662042</v>
      </c>
      <c r="Q328" s="2">
        <v>562</v>
      </c>
    </row>
    <row r="329" spans="1:17" x14ac:dyDescent="0.25">
      <c r="A329" s="1">
        <v>43281</v>
      </c>
      <c r="B329" s="2" t="s">
        <v>4694</v>
      </c>
      <c r="C329" s="2" t="s">
        <v>4695</v>
      </c>
      <c r="D329" s="2">
        <v>24450</v>
      </c>
      <c r="E329" s="2" t="s">
        <v>4696</v>
      </c>
      <c r="F329" s="2" t="s">
        <v>2700</v>
      </c>
      <c r="G329" s="2" t="s">
        <v>4697</v>
      </c>
      <c r="H329" s="2">
        <v>7022294450.0100002</v>
      </c>
      <c r="I329" s="2">
        <v>15575</v>
      </c>
      <c r="J329" s="2">
        <v>23.547739920000001</v>
      </c>
      <c r="K329" s="2" t="s">
        <v>4698</v>
      </c>
      <c r="L329" s="2">
        <v>9773635.0675600003</v>
      </c>
      <c r="M329" s="2">
        <v>65079</v>
      </c>
      <c r="N329" s="2" t="s">
        <v>4699</v>
      </c>
      <c r="O329" s="2">
        <v>2.6250999999999998E-4</v>
      </c>
      <c r="P329" s="2">
        <v>14603981</v>
      </c>
      <c r="Q329" s="2">
        <v>623</v>
      </c>
    </row>
    <row r="330" spans="1:17" x14ac:dyDescent="0.25">
      <c r="A330" s="1">
        <v>43280</v>
      </c>
      <c r="B330" s="2" t="s">
        <v>4700</v>
      </c>
      <c r="C330" s="2" t="s">
        <v>4701</v>
      </c>
      <c r="D330" s="2">
        <v>26267</v>
      </c>
      <c r="E330" s="2" t="s">
        <v>4702</v>
      </c>
      <c r="F330" s="2" t="s">
        <v>4703</v>
      </c>
      <c r="G330" s="2" t="s">
        <v>4704</v>
      </c>
      <c r="H330" s="2">
        <v>7025589812.2700005</v>
      </c>
      <c r="I330" s="2">
        <v>15200</v>
      </c>
      <c r="J330" s="2">
        <v>26.91623019</v>
      </c>
      <c r="K330" s="2" t="s">
        <v>4705</v>
      </c>
      <c r="L330" s="2">
        <v>9842220.1660300009</v>
      </c>
      <c r="M330" s="2">
        <v>69465</v>
      </c>
      <c r="N330" s="2" t="s">
        <v>4706</v>
      </c>
      <c r="O330" s="2">
        <v>2.61E-4</v>
      </c>
      <c r="P330" s="2">
        <v>16154011</v>
      </c>
      <c r="Q330" s="2">
        <v>608</v>
      </c>
    </row>
    <row r="331" spans="1:17" x14ac:dyDescent="0.25">
      <c r="A331" s="1">
        <v>43279</v>
      </c>
      <c r="B331" s="2" t="s">
        <v>4707</v>
      </c>
      <c r="C331" s="2" t="s">
        <v>4708</v>
      </c>
      <c r="D331" s="2">
        <v>23694</v>
      </c>
      <c r="E331" s="2" t="s">
        <v>4709</v>
      </c>
      <c r="F331" s="2" t="s">
        <v>4710</v>
      </c>
      <c r="G331" s="2" t="s">
        <v>4711</v>
      </c>
      <c r="H331" s="2">
        <v>7031390260.3699999</v>
      </c>
      <c r="I331" s="2">
        <v>13375</v>
      </c>
      <c r="J331" s="2">
        <v>24.647823760000001</v>
      </c>
      <c r="K331" s="2" t="s">
        <v>4712</v>
      </c>
      <c r="L331" s="2">
        <v>10457237.3605</v>
      </c>
      <c r="M331" s="2">
        <v>64732</v>
      </c>
      <c r="N331" s="2" t="s">
        <v>4713</v>
      </c>
      <c r="O331" s="2">
        <v>3.7199999999999999E-4</v>
      </c>
      <c r="P331" s="2">
        <v>20224469</v>
      </c>
      <c r="Q331" s="2">
        <v>535</v>
      </c>
    </row>
    <row r="332" spans="1:17" x14ac:dyDescent="0.25">
      <c r="A332" s="1">
        <v>43278</v>
      </c>
      <c r="B332" s="2" t="s">
        <v>4714</v>
      </c>
      <c r="C332" s="2" t="s">
        <v>4715</v>
      </c>
      <c r="D332" s="2">
        <v>25168</v>
      </c>
      <c r="E332" s="2" t="s">
        <v>4716</v>
      </c>
      <c r="F332" s="2" t="s">
        <v>4717</v>
      </c>
      <c r="G332" s="2" t="s">
        <v>4718</v>
      </c>
      <c r="H332" s="2">
        <v>7037115665.5600004</v>
      </c>
      <c r="I332" s="2">
        <v>12900</v>
      </c>
      <c r="J332" s="2">
        <v>30.223479139999998</v>
      </c>
      <c r="K332" s="2" t="s">
        <v>4719</v>
      </c>
      <c r="L332" s="2">
        <v>10457237.3605</v>
      </c>
      <c r="M332" s="2">
        <v>67485</v>
      </c>
      <c r="N332" s="2" t="s">
        <v>4720</v>
      </c>
      <c r="O332" s="2">
        <v>3.7399999999999998E-4</v>
      </c>
      <c r="P332" s="2">
        <v>24905312</v>
      </c>
      <c r="Q332" s="2">
        <v>516</v>
      </c>
    </row>
    <row r="333" spans="1:17" x14ac:dyDescent="0.25">
      <c r="A333" s="1">
        <v>43277</v>
      </c>
      <c r="B333" s="2" t="s">
        <v>4721</v>
      </c>
      <c r="C333" s="2" t="s">
        <v>4722</v>
      </c>
      <c r="D333" s="2">
        <v>23372</v>
      </c>
      <c r="E333" s="2" t="s">
        <v>4723</v>
      </c>
      <c r="F333" s="2" t="s">
        <v>4724</v>
      </c>
      <c r="G333" s="2" t="s">
        <v>4725</v>
      </c>
      <c r="H333" s="2">
        <v>7043707845.1400003</v>
      </c>
      <c r="I333" s="2">
        <v>13425</v>
      </c>
      <c r="J333" s="2">
        <v>24.615196050000002</v>
      </c>
      <c r="K333" s="2" t="s">
        <v>4726</v>
      </c>
      <c r="L333" s="2">
        <v>10457237.3605</v>
      </c>
      <c r="M333" s="2">
        <v>65819</v>
      </c>
      <c r="N333" s="2" t="s">
        <v>4727</v>
      </c>
      <c r="O333" s="2">
        <v>3.7399999999999998E-4</v>
      </c>
      <c r="P333" s="2">
        <v>14196673</v>
      </c>
      <c r="Q333" s="2">
        <v>537</v>
      </c>
    </row>
    <row r="334" spans="1:17" x14ac:dyDescent="0.25">
      <c r="A334" s="1">
        <v>43276</v>
      </c>
      <c r="B334" s="2" t="s">
        <v>4728</v>
      </c>
      <c r="C334" s="2" t="s">
        <v>4729</v>
      </c>
      <c r="D334" s="2">
        <v>23049</v>
      </c>
      <c r="E334" s="2" t="s">
        <v>4730</v>
      </c>
      <c r="F334" s="2" t="s">
        <v>4731</v>
      </c>
      <c r="G334" s="2" t="s">
        <v>4732</v>
      </c>
      <c r="H334" s="2">
        <v>7055884229.5299997</v>
      </c>
      <c r="I334" s="2">
        <v>14600</v>
      </c>
      <c r="J334" s="2">
        <v>24.92867884</v>
      </c>
      <c r="K334" s="2" t="s">
        <v>4733</v>
      </c>
      <c r="L334" s="2">
        <v>10493531.6416</v>
      </c>
      <c r="M334" s="2">
        <v>67088</v>
      </c>
      <c r="N334" s="2" t="s">
        <v>4734</v>
      </c>
      <c r="O334" s="2">
        <v>3.7399999999999998E-4</v>
      </c>
      <c r="P334" s="2">
        <v>14870403</v>
      </c>
      <c r="Q334" s="2">
        <v>584</v>
      </c>
    </row>
    <row r="335" spans="1:17" x14ac:dyDescent="0.25">
      <c r="A335" s="1">
        <v>43275</v>
      </c>
      <c r="B335" s="2" t="s">
        <v>4735</v>
      </c>
      <c r="C335" s="2" t="s">
        <v>4736</v>
      </c>
      <c r="D335" s="2">
        <v>23255</v>
      </c>
      <c r="E335" s="2" t="s">
        <v>4737</v>
      </c>
      <c r="F335" s="2" t="s">
        <v>4738</v>
      </c>
      <c r="G335" s="2" t="s">
        <v>4739</v>
      </c>
      <c r="H335" s="2">
        <v>7062113640.5500002</v>
      </c>
      <c r="I335" s="2">
        <v>14400</v>
      </c>
      <c r="J335" s="2">
        <v>25.863435899999999</v>
      </c>
      <c r="K335" s="2" t="s">
        <v>4740</v>
      </c>
      <c r="L335" s="2">
        <v>10554914.135299999</v>
      </c>
      <c r="M335" s="2">
        <v>66721</v>
      </c>
      <c r="N335" s="2" t="s">
        <v>4741</v>
      </c>
      <c r="O335" s="2">
        <v>3.7284999999999998E-4</v>
      </c>
      <c r="P335" s="2">
        <v>14535961</v>
      </c>
      <c r="Q335" s="2">
        <v>576</v>
      </c>
    </row>
    <row r="336" spans="1:17" x14ac:dyDescent="0.25">
      <c r="A336" s="1">
        <v>43274</v>
      </c>
      <c r="B336" s="2" t="s">
        <v>4742</v>
      </c>
      <c r="C336" s="2" t="s">
        <v>4743</v>
      </c>
      <c r="D336" s="2">
        <v>21577</v>
      </c>
      <c r="E336" s="2" t="s">
        <v>4744</v>
      </c>
      <c r="F336" s="2" t="s">
        <v>4745</v>
      </c>
      <c r="G336" s="2" t="s">
        <v>4746</v>
      </c>
      <c r="H336" s="2">
        <v>7068497776.3500004</v>
      </c>
      <c r="I336" s="2">
        <v>14050</v>
      </c>
      <c r="J336" s="2">
        <v>21.552883399999999</v>
      </c>
      <c r="K336" s="2" t="s">
        <v>4747</v>
      </c>
      <c r="L336" s="2">
        <v>10554914.135299999</v>
      </c>
      <c r="M336" s="2">
        <v>64993</v>
      </c>
      <c r="N336" s="2" t="s">
        <v>4748</v>
      </c>
      <c r="O336" s="2">
        <v>3.6400000000000001E-4</v>
      </c>
      <c r="P336" s="2">
        <v>13127818</v>
      </c>
      <c r="Q336" s="2">
        <v>562</v>
      </c>
    </row>
    <row r="337" spans="1:17" x14ac:dyDescent="0.25">
      <c r="A337" s="1">
        <v>43273</v>
      </c>
      <c r="B337" s="2" t="s">
        <v>4749</v>
      </c>
      <c r="C337" s="2" t="s">
        <v>4750</v>
      </c>
      <c r="D337" s="2">
        <v>27225</v>
      </c>
      <c r="E337" s="2" t="s">
        <v>4751</v>
      </c>
      <c r="F337" s="2" t="s">
        <v>4752</v>
      </c>
      <c r="G337" s="2" t="s">
        <v>4753</v>
      </c>
      <c r="H337" s="2">
        <v>7075038957.7200003</v>
      </c>
      <c r="I337" s="2">
        <v>13825</v>
      </c>
      <c r="J337" s="2">
        <v>28.702505940000002</v>
      </c>
      <c r="K337" s="2" t="s">
        <v>4754</v>
      </c>
      <c r="L337" s="2">
        <v>10554914.135299999</v>
      </c>
      <c r="M337" s="2">
        <v>73318</v>
      </c>
      <c r="N337" s="2" t="s">
        <v>4755</v>
      </c>
      <c r="O337" s="2">
        <v>3.0519E-4</v>
      </c>
      <c r="P337" s="2">
        <v>17430049</v>
      </c>
      <c r="Q337" s="2">
        <v>553</v>
      </c>
    </row>
    <row r="338" spans="1:17" x14ac:dyDescent="0.25">
      <c r="A338" s="1">
        <v>43272</v>
      </c>
      <c r="B338" s="2" t="s">
        <v>4756</v>
      </c>
      <c r="C338" s="2" t="s">
        <v>4757</v>
      </c>
      <c r="D338" s="2">
        <v>24046</v>
      </c>
      <c r="E338" s="2" t="s">
        <v>4758</v>
      </c>
      <c r="F338" s="2" t="s">
        <v>4759</v>
      </c>
      <c r="G338" s="2" t="s">
        <v>4760</v>
      </c>
      <c r="H338" s="2">
        <v>7088120539.4799995</v>
      </c>
      <c r="I338" s="2">
        <v>14800</v>
      </c>
      <c r="J338" s="2">
        <v>24.774643789999999</v>
      </c>
      <c r="K338" s="2" t="s">
        <v>4761</v>
      </c>
      <c r="L338" s="2">
        <v>10661164.678400001</v>
      </c>
      <c r="M338" s="2">
        <v>67787</v>
      </c>
      <c r="N338" s="2" t="s">
        <v>4762</v>
      </c>
      <c r="O338" s="2">
        <v>3.6914000000000001E-4</v>
      </c>
      <c r="P338" s="2">
        <v>16167602</v>
      </c>
      <c r="Q338" s="2">
        <v>592</v>
      </c>
    </row>
    <row r="339" spans="1:17" x14ac:dyDescent="0.25">
      <c r="A339" s="1">
        <v>43271</v>
      </c>
      <c r="B339" s="2" t="s">
        <v>4763</v>
      </c>
      <c r="C339" s="2" t="s">
        <v>4764</v>
      </c>
      <c r="D339" s="2">
        <v>23108</v>
      </c>
      <c r="E339" s="2" t="s">
        <v>4765</v>
      </c>
      <c r="F339" s="2" t="s">
        <v>4766</v>
      </c>
      <c r="G339" s="2" t="s">
        <v>4767</v>
      </c>
      <c r="H339" s="2">
        <v>7094126606.3199997</v>
      </c>
      <c r="I339" s="2">
        <v>14050</v>
      </c>
      <c r="J339" s="2">
        <v>24.522403229999998</v>
      </c>
      <c r="K339" s="2" t="s">
        <v>4768</v>
      </c>
      <c r="L339" s="2">
        <v>10684873.477299999</v>
      </c>
      <c r="M339" s="2">
        <v>67287</v>
      </c>
      <c r="N339" s="2" t="s">
        <v>4769</v>
      </c>
      <c r="O339" s="2">
        <v>3.7199999999999999E-4</v>
      </c>
      <c r="P339" s="2">
        <v>14231003</v>
      </c>
      <c r="Q339" s="2">
        <v>562</v>
      </c>
    </row>
    <row r="340" spans="1:17" x14ac:dyDescent="0.25">
      <c r="A340" s="1">
        <v>43270</v>
      </c>
      <c r="B340" s="2" t="s">
        <v>4770</v>
      </c>
      <c r="C340" s="2" t="s">
        <v>4771</v>
      </c>
      <c r="D340" s="2">
        <v>23667</v>
      </c>
      <c r="E340" s="2" t="s">
        <v>4772</v>
      </c>
      <c r="F340" s="2" t="s">
        <v>4773</v>
      </c>
      <c r="G340" s="2" t="s">
        <v>4774</v>
      </c>
      <c r="H340" s="2">
        <v>7102238872.3199997</v>
      </c>
      <c r="I340" s="2">
        <v>13975</v>
      </c>
      <c r="J340" s="2">
        <v>25.39789008</v>
      </c>
      <c r="K340" s="2" t="s">
        <v>4775</v>
      </c>
      <c r="L340" s="2">
        <v>10684873.477299999</v>
      </c>
      <c r="M340" s="2">
        <v>68860</v>
      </c>
      <c r="N340" s="2" t="s">
        <v>4776</v>
      </c>
      <c r="O340" s="2">
        <v>3.7399999999999998E-4</v>
      </c>
      <c r="P340" s="2">
        <v>15073841</v>
      </c>
      <c r="Q340" s="2">
        <v>559</v>
      </c>
    </row>
    <row r="341" spans="1:17" x14ac:dyDescent="0.25">
      <c r="A341" s="1">
        <v>43269</v>
      </c>
      <c r="B341" s="2" t="s">
        <v>4777</v>
      </c>
      <c r="C341" s="2" t="s">
        <v>4778</v>
      </c>
      <c r="D341" s="2">
        <v>22327</v>
      </c>
      <c r="E341" s="2" t="s">
        <v>4779</v>
      </c>
      <c r="F341" s="2" t="s">
        <v>4780</v>
      </c>
      <c r="G341" s="2" t="s">
        <v>4781</v>
      </c>
      <c r="H341" s="2">
        <v>7108441024.9899998</v>
      </c>
      <c r="I341" s="2">
        <v>14000</v>
      </c>
      <c r="J341" s="2">
        <v>25.12688069</v>
      </c>
      <c r="K341" s="2" t="s">
        <v>4782</v>
      </c>
      <c r="L341" s="2">
        <v>10769776.413899999</v>
      </c>
      <c r="M341" s="2">
        <v>67307</v>
      </c>
      <c r="N341" s="2" t="s">
        <v>4783</v>
      </c>
      <c r="O341" s="2">
        <v>3.7399999999999998E-4</v>
      </c>
      <c r="P341" s="2">
        <v>15560216</v>
      </c>
      <c r="Q341" s="2">
        <v>560</v>
      </c>
    </row>
    <row r="342" spans="1:17" x14ac:dyDescent="0.25">
      <c r="A342" s="1">
        <v>43268</v>
      </c>
      <c r="B342" s="2" t="s">
        <v>4784</v>
      </c>
      <c r="C342" s="2" t="s">
        <v>4785</v>
      </c>
      <c r="D342" s="2">
        <v>18680</v>
      </c>
      <c r="E342" s="2" t="s">
        <v>4786</v>
      </c>
      <c r="F342" s="2" t="s">
        <v>4787</v>
      </c>
      <c r="G342" s="2" t="s">
        <v>4788</v>
      </c>
      <c r="H342" s="2">
        <v>7110145098.2399998</v>
      </c>
      <c r="I342" s="2">
        <v>14675</v>
      </c>
      <c r="J342" s="2">
        <v>19.71000201</v>
      </c>
      <c r="K342" s="2" t="s">
        <v>4789</v>
      </c>
      <c r="L342" s="2">
        <v>11003971.762399999</v>
      </c>
      <c r="M342" s="2">
        <v>64480</v>
      </c>
      <c r="N342" s="2" t="s">
        <v>4790</v>
      </c>
      <c r="O342" s="2">
        <v>3.7399999999999998E-4</v>
      </c>
      <c r="P342" s="2">
        <v>11787078</v>
      </c>
      <c r="Q342" s="2">
        <v>587</v>
      </c>
    </row>
    <row r="343" spans="1:17" x14ac:dyDescent="0.25">
      <c r="A343" s="1">
        <v>43267</v>
      </c>
      <c r="B343" s="2" t="s">
        <v>4791</v>
      </c>
      <c r="C343" s="2" t="s">
        <v>4792</v>
      </c>
      <c r="D343" s="2">
        <v>19810</v>
      </c>
      <c r="E343" s="2" t="s">
        <v>4793</v>
      </c>
      <c r="F343" s="2" t="s">
        <v>4794</v>
      </c>
      <c r="G343" s="2" t="s">
        <v>4795</v>
      </c>
      <c r="H343" s="2">
        <v>7114857015.2399998</v>
      </c>
      <c r="I343" s="2">
        <v>14200</v>
      </c>
      <c r="J343" s="2">
        <v>20.88737806</v>
      </c>
      <c r="K343" s="2" t="s">
        <v>4796</v>
      </c>
      <c r="L343" s="2">
        <v>11003971.762399999</v>
      </c>
      <c r="M343" s="2">
        <v>64456</v>
      </c>
      <c r="N343" s="2" t="s">
        <v>4797</v>
      </c>
      <c r="O343" s="2">
        <v>3.7199999999999999E-4</v>
      </c>
      <c r="P343" s="2">
        <v>12386706</v>
      </c>
      <c r="Q343" s="2">
        <v>568</v>
      </c>
    </row>
    <row r="344" spans="1:17" x14ac:dyDescent="0.25">
      <c r="A344" s="1">
        <v>43266</v>
      </c>
      <c r="B344" s="2" t="s">
        <v>4798</v>
      </c>
      <c r="C344" s="2" t="s">
        <v>4799</v>
      </c>
      <c r="D344" s="2">
        <v>23315</v>
      </c>
      <c r="E344" s="2" t="s">
        <v>4800</v>
      </c>
      <c r="F344" s="2" t="s">
        <v>4801</v>
      </c>
      <c r="G344" s="2" t="s">
        <v>4802</v>
      </c>
      <c r="H344" s="2">
        <v>7118660360.0699997</v>
      </c>
      <c r="I344" s="2">
        <v>13375</v>
      </c>
      <c r="J344" s="2">
        <v>24.926835050000001</v>
      </c>
      <c r="K344" s="2" t="s">
        <v>4803</v>
      </c>
      <c r="L344" s="2">
        <v>11003971.762399999</v>
      </c>
      <c r="M344" s="2">
        <v>68298</v>
      </c>
      <c r="N344" s="2" t="s">
        <v>4804</v>
      </c>
      <c r="O344" s="2">
        <v>3.39E-4</v>
      </c>
      <c r="P344" s="2">
        <v>15744519</v>
      </c>
      <c r="Q344" s="2">
        <v>535</v>
      </c>
    </row>
    <row r="345" spans="1:17" x14ac:dyDescent="0.25">
      <c r="A345" s="1">
        <v>43265</v>
      </c>
      <c r="B345" s="2" t="s">
        <v>4805</v>
      </c>
      <c r="C345" s="2" t="s">
        <v>4806</v>
      </c>
      <c r="D345" s="2">
        <v>26120</v>
      </c>
      <c r="E345" s="2" t="s">
        <v>4807</v>
      </c>
      <c r="F345" s="2" t="s">
        <v>4808</v>
      </c>
      <c r="G345" s="2" t="s">
        <v>4809</v>
      </c>
      <c r="H345" s="2">
        <v>7128355174.1599998</v>
      </c>
      <c r="I345" s="2">
        <v>13900</v>
      </c>
      <c r="J345" s="2">
        <v>28.297597150000001</v>
      </c>
      <c r="K345" s="2" t="s">
        <v>4810</v>
      </c>
      <c r="L345" s="2">
        <v>10977565.1164</v>
      </c>
      <c r="M345" s="2">
        <v>70658</v>
      </c>
      <c r="N345" s="2" t="s">
        <v>4811</v>
      </c>
      <c r="O345" s="2">
        <v>3.39E-4</v>
      </c>
      <c r="P345" s="2">
        <v>18052211</v>
      </c>
      <c r="Q345" s="2">
        <v>556</v>
      </c>
    </row>
    <row r="346" spans="1:17" x14ac:dyDescent="0.25">
      <c r="A346" s="1">
        <v>43264</v>
      </c>
      <c r="B346" s="2" t="s">
        <v>4812</v>
      </c>
      <c r="C346" s="2" t="s">
        <v>4813</v>
      </c>
      <c r="D346" s="2">
        <v>27843</v>
      </c>
      <c r="E346" s="2" t="s">
        <v>4814</v>
      </c>
      <c r="F346" s="2" t="s">
        <v>4815</v>
      </c>
      <c r="G346" s="2" t="s">
        <v>4816</v>
      </c>
      <c r="H346" s="2">
        <v>7119174410.3800001</v>
      </c>
      <c r="I346" s="2">
        <v>14150</v>
      </c>
      <c r="J346" s="2">
        <v>31.48174723</v>
      </c>
      <c r="K346" s="2" t="s">
        <v>4817</v>
      </c>
      <c r="L346" s="2">
        <v>10965232.7249</v>
      </c>
      <c r="M346" s="2">
        <v>73533</v>
      </c>
      <c r="N346" s="2" t="s">
        <v>4818</v>
      </c>
      <c r="O346" s="2">
        <v>3.6200000000000002E-4</v>
      </c>
      <c r="P346" s="2">
        <v>18454343</v>
      </c>
      <c r="Q346" s="2">
        <v>566</v>
      </c>
    </row>
    <row r="347" spans="1:17" x14ac:dyDescent="0.25">
      <c r="A347" s="1">
        <v>43263</v>
      </c>
      <c r="B347" s="2" t="s">
        <v>4819</v>
      </c>
      <c r="C347" s="2" t="s">
        <v>4820</v>
      </c>
      <c r="D347" s="2">
        <v>26358</v>
      </c>
      <c r="E347" s="2" t="s">
        <v>4821</v>
      </c>
      <c r="F347" s="2" t="s">
        <v>4822</v>
      </c>
      <c r="G347" s="2" t="s">
        <v>4823</v>
      </c>
      <c r="H347" s="2">
        <v>7137373669.4799995</v>
      </c>
      <c r="I347" s="2">
        <v>15350</v>
      </c>
      <c r="J347" s="2">
        <v>29.042646250000001</v>
      </c>
      <c r="K347" s="2" t="s">
        <v>4824</v>
      </c>
      <c r="L347" s="2">
        <v>10965232.7249</v>
      </c>
      <c r="M347" s="2">
        <v>72453</v>
      </c>
      <c r="N347" s="2" t="s">
        <v>4825</v>
      </c>
      <c r="O347" s="2">
        <v>3.7100000000000002E-4</v>
      </c>
      <c r="P347" s="2">
        <v>17515609</v>
      </c>
      <c r="Q347" s="2">
        <v>614</v>
      </c>
    </row>
    <row r="348" spans="1:17" x14ac:dyDescent="0.25">
      <c r="A348" s="1">
        <v>43262</v>
      </c>
      <c r="B348" s="2" t="s">
        <v>4826</v>
      </c>
      <c r="C348" s="2" t="s">
        <v>4827</v>
      </c>
      <c r="D348" s="2">
        <v>26587</v>
      </c>
      <c r="E348" s="2" t="s">
        <v>4828</v>
      </c>
      <c r="F348" s="2" t="s">
        <v>4829</v>
      </c>
      <c r="G348" s="2" t="s">
        <v>4830</v>
      </c>
      <c r="H348" s="2">
        <v>7150138247.3299999</v>
      </c>
      <c r="I348" s="2">
        <v>13800</v>
      </c>
      <c r="J348" s="2">
        <v>27.013672190000001</v>
      </c>
      <c r="K348" s="2" t="s">
        <v>4831</v>
      </c>
      <c r="L348" s="2">
        <v>10963690.719599999</v>
      </c>
      <c r="M348" s="2">
        <v>73600</v>
      </c>
      <c r="N348" s="2" t="s">
        <v>4832</v>
      </c>
      <c r="O348" s="2">
        <v>3.7399999999999998E-4</v>
      </c>
      <c r="P348" s="2">
        <v>16138573</v>
      </c>
      <c r="Q348" s="2">
        <v>552</v>
      </c>
    </row>
    <row r="349" spans="1:17" x14ac:dyDescent="0.25">
      <c r="A349" s="1">
        <v>43261</v>
      </c>
      <c r="B349" s="2" t="s">
        <v>4833</v>
      </c>
      <c r="C349" s="2" t="s">
        <v>4834</v>
      </c>
      <c r="D349" s="2">
        <v>25391</v>
      </c>
      <c r="E349" s="2" t="s">
        <v>4835</v>
      </c>
      <c r="F349" s="2" t="s">
        <v>4836</v>
      </c>
      <c r="G349" s="2" t="s">
        <v>4837</v>
      </c>
      <c r="H349" s="2">
        <v>7155525986.4499998</v>
      </c>
      <c r="I349" s="2">
        <v>14025</v>
      </c>
      <c r="J349" s="2">
        <v>31.28051889</v>
      </c>
      <c r="K349" s="2" t="s">
        <v>4838</v>
      </c>
      <c r="L349" s="2">
        <v>10956272.862400001</v>
      </c>
      <c r="M349" s="2">
        <v>71967</v>
      </c>
      <c r="N349" s="2" t="s">
        <v>4839</v>
      </c>
      <c r="O349" s="2">
        <v>3.7199999999999999E-4</v>
      </c>
      <c r="P349" s="2">
        <v>20373972</v>
      </c>
      <c r="Q349" s="2">
        <v>561</v>
      </c>
    </row>
    <row r="350" spans="1:17" x14ac:dyDescent="0.25">
      <c r="A350" s="1">
        <v>43260</v>
      </c>
      <c r="B350" s="2" t="s">
        <v>4840</v>
      </c>
      <c r="C350" s="2" t="s">
        <v>4841</v>
      </c>
      <c r="D350" s="2">
        <v>20786</v>
      </c>
      <c r="E350" s="2" t="s">
        <v>4842</v>
      </c>
      <c r="F350" s="2" t="s">
        <v>4843</v>
      </c>
      <c r="G350" s="2" t="s">
        <v>4844</v>
      </c>
      <c r="H350" s="2">
        <v>7164545562.3800001</v>
      </c>
      <c r="I350" s="2">
        <v>14525</v>
      </c>
      <c r="J350" s="2">
        <v>21.58752638</v>
      </c>
      <c r="K350" s="2" t="s">
        <v>4845</v>
      </c>
      <c r="L350" s="2">
        <v>10956272.862400001</v>
      </c>
      <c r="M350" s="2">
        <v>66564</v>
      </c>
      <c r="N350" s="2" t="s">
        <v>4846</v>
      </c>
      <c r="O350" s="2">
        <v>3.7399999999999998E-4</v>
      </c>
      <c r="P350" s="2">
        <v>12741944</v>
      </c>
      <c r="Q350" s="2">
        <v>581</v>
      </c>
    </row>
    <row r="351" spans="1:17" x14ac:dyDescent="0.25">
      <c r="A351" s="1">
        <v>43259</v>
      </c>
      <c r="B351" s="2" t="s">
        <v>4847</v>
      </c>
      <c r="C351" s="2" t="s">
        <v>4848</v>
      </c>
      <c r="D351" s="2">
        <v>24566</v>
      </c>
      <c r="E351" s="2" t="s">
        <v>4849</v>
      </c>
      <c r="F351" s="2" t="s">
        <v>4850</v>
      </c>
      <c r="G351" s="2" t="s">
        <v>4851</v>
      </c>
      <c r="H351" s="2">
        <v>7166127308.0299997</v>
      </c>
      <c r="I351" s="2">
        <v>14500</v>
      </c>
      <c r="J351" s="2">
        <v>25.095108029999999</v>
      </c>
      <c r="K351" s="2" t="s">
        <v>4852</v>
      </c>
      <c r="L351" s="2">
        <v>10956272.862400001</v>
      </c>
      <c r="M351" s="2">
        <v>72114</v>
      </c>
      <c r="N351" s="2" t="s">
        <v>4853</v>
      </c>
      <c r="O351" s="2">
        <v>3.7199999999999999E-4</v>
      </c>
      <c r="P351" s="2">
        <v>15128695</v>
      </c>
      <c r="Q351" s="2">
        <v>580</v>
      </c>
    </row>
    <row r="352" spans="1:17" x14ac:dyDescent="0.25">
      <c r="A352" s="1">
        <v>43258</v>
      </c>
      <c r="B352" s="2" t="s">
        <v>4854</v>
      </c>
      <c r="C352" s="2" t="s">
        <v>4855</v>
      </c>
      <c r="D352" s="2">
        <v>24254</v>
      </c>
      <c r="E352" s="2" t="s">
        <v>4856</v>
      </c>
      <c r="F352" s="2" t="s">
        <v>4857</v>
      </c>
      <c r="G352" s="2" t="s">
        <v>4858</v>
      </c>
      <c r="H352" s="2">
        <v>7170190975.8000002</v>
      </c>
      <c r="I352" s="2">
        <v>15625</v>
      </c>
      <c r="J352" s="2">
        <v>26.246751570000001</v>
      </c>
      <c r="K352" s="2" t="s">
        <v>4859</v>
      </c>
      <c r="L352" s="2">
        <v>10386506.4959</v>
      </c>
      <c r="M352" s="2">
        <v>71915</v>
      </c>
      <c r="N352" s="2" t="s">
        <v>4860</v>
      </c>
      <c r="O352" s="2">
        <v>3.7199999999999999E-4</v>
      </c>
      <c r="P352" s="2">
        <v>15342551</v>
      </c>
      <c r="Q352" s="2">
        <v>625</v>
      </c>
    </row>
    <row r="353" spans="1:17" x14ac:dyDescent="0.25">
      <c r="A353" s="1">
        <v>43257</v>
      </c>
      <c r="B353" s="2" t="s">
        <v>4861</v>
      </c>
      <c r="C353" s="2" t="s">
        <v>4862</v>
      </c>
      <c r="D353" s="2">
        <v>25346</v>
      </c>
      <c r="E353" s="2" t="s">
        <v>4863</v>
      </c>
      <c r="F353" s="2" t="s">
        <v>4864</v>
      </c>
      <c r="G353" s="2" t="s">
        <v>4865</v>
      </c>
      <c r="H353" s="2">
        <v>7172006806.04</v>
      </c>
      <c r="I353" s="2">
        <v>15900</v>
      </c>
      <c r="J353" s="2">
        <v>26.360345030000001</v>
      </c>
      <c r="K353" s="2" t="s">
        <v>4866</v>
      </c>
      <c r="L353" s="2">
        <v>10120348.028899999</v>
      </c>
      <c r="M353" s="2">
        <v>72704</v>
      </c>
      <c r="N353" s="2" t="s">
        <v>4867</v>
      </c>
      <c r="O353" s="2">
        <v>3.7199999999999999E-4</v>
      </c>
      <c r="P353" s="2">
        <v>14984909</v>
      </c>
      <c r="Q353" s="2">
        <v>636</v>
      </c>
    </row>
    <row r="354" spans="1:17" x14ac:dyDescent="0.25">
      <c r="A354" s="1">
        <v>43256</v>
      </c>
      <c r="B354" s="2" t="s">
        <v>4868</v>
      </c>
      <c r="C354" s="2" t="s">
        <v>4869</v>
      </c>
      <c r="D354" s="2">
        <v>25172</v>
      </c>
      <c r="E354" s="2" t="s">
        <v>4870</v>
      </c>
      <c r="F354" s="2" t="s">
        <v>4871</v>
      </c>
      <c r="G354" s="2" t="s">
        <v>4872</v>
      </c>
      <c r="H354" s="2">
        <v>7173422154.3699999</v>
      </c>
      <c r="I354" s="2">
        <v>16025</v>
      </c>
      <c r="J354" s="2">
        <v>27.402052919999999</v>
      </c>
      <c r="K354" s="2" t="s">
        <v>4873</v>
      </c>
      <c r="L354" s="2">
        <v>10120348.028899999</v>
      </c>
      <c r="M354" s="2">
        <v>73845</v>
      </c>
      <c r="N354" s="2" t="s">
        <v>4874</v>
      </c>
      <c r="O354" s="2">
        <v>3.7199999999999999E-4</v>
      </c>
      <c r="P354" s="2">
        <v>15218257</v>
      </c>
      <c r="Q354" s="2">
        <v>641</v>
      </c>
    </row>
    <row r="355" spans="1:17" x14ac:dyDescent="0.25">
      <c r="A355" s="1">
        <v>43255</v>
      </c>
      <c r="B355" s="2" t="s">
        <v>4875</v>
      </c>
      <c r="C355" s="2" t="s">
        <v>4876</v>
      </c>
      <c r="D355" s="2">
        <v>24326</v>
      </c>
      <c r="E355" s="2" t="s">
        <v>4877</v>
      </c>
      <c r="F355" s="2" t="s">
        <v>4878</v>
      </c>
      <c r="G355" s="2" t="s">
        <v>4879</v>
      </c>
      <c r="H355" s="2">
        <v>7180160339.6300001</v>
      </c>
      <c r="I355" s="2">
        <v>14200</v>
      </c>
      <c r="J355" s="2">
        <v>29.303001600000002</v>
      </c>
      <c r="K355" s="2" t="s">
        <v>4880</v>
      </c>
      <c r="L355" s="2">
        <v>10268647.2325</v>
      </c>
      <c r="M355" s="2">
        <v>73688</v>
      </c>
      <c r="N355" s="2" t="s">
        <v>4881</v>
      </c>
      <c r="O355" s="2">
        <v>3.7199999999999999E-4</v>
      </c>
      <c r="P355" s="2">
        <v>16739584</v>
      </c>
      <c r="Q355" s="2">
        <v>568</v>
      </c>
    </row>
    <row r="356" spans="1:17" x14ac:dyDescent="0.25">
      <c r="A356" s="1">
        <v>43254</v>
      </c>
      <c r="B356" s="2" t="s">
        <v>4882</v>
      </c>
      <c r="C356" s="2" t="s">
        <v>4883</v>
      </c>
      <c r="D356" s="2">
        <v>22155</v>
      </c>
      <c r="E356" s="2" t="s">
        <v>4884</v>
      </c>
      <c r="F356" s="2" t="s">
        <v>4885</v>
      </c>
      <c r="G356" s="2" t="s">
        <v>4886</v>
      </c>
      <c r="H356" s="2">
        <v>7179725848.3100004</v>
      </c>
      <c r="I356" s="2">
        <v>14175</v>
      </c>
      <c r="J356" s="2">
        <v>24.24868197</v>
      </c>
      <c r="K356" s="2" t="s">
        <v>4887</v>
      </c>
      <c r="L356" s="2">
        <v>10450677.235200001</v>
      </c>
      <c r="M356" s="2">
        <v>70657</v>
      </c>
      <c r="N356" s="2" t="s">
        <v>4888</v>
      </c>
      <c r="O356" s="2">
        <v>3.7199999999999999E-4</v>
      </c>
      <c r="P356" s="2">
        <v>14047123</v>
      </c>
      <c r="Q356" s="2">
        <v>567</v>
      </c>
    </row>
    <row r="357" spans="1:17" x14ac:dyDescent="0.25">
      <c r="A357" s="1">
        <v>43253</v>
      </c>
      <c r="B357" s="2" t="s">
        <v>4889</v>
      </c>
      <c r="C357" s="2" t="s">
        <v>4890</v>
      </c>
      <c r="D357" s="2">
        <v>22879</v>
      </c>
      <c r="E357" s="2" t="s">
        <v>4891</v>
      </c>
      <c r="F357" s="2" t="s">
        <v>4892</v>
      </c>
      <c r="G357" s="2" t="s">
        <v>4893</v>
      </c>
      <c r="H357" s="2">
        <v>7178663903.0900002</v>
      </c>
      <c r="I357" s="2">
        <v>13675</v>
      </c>
      <c r="J357" s="2">
        <v>26.347658039999999</v>
      </c>
      <c r="K357" s="2" t="s">
        <v>4894</v>
      </c>
      <c r="L357" s="2">
        <v>10450677.235200001</v>
      </c>
      <c r="M357" s="2">
        <v>70829</v>
      </c>
      <c r="N357" s="2" t="s">
        <v>4895</v>
      </c>
      <c r="O357" s="2">
        <v>3.9585999999999999E-4</v>
      </c>
      <c r="P357" s="2">
        <v>15764908</v>
      </c>
      <c r="Q357" s="2">
        <v>547</v>
      </c>
    </row>
    <row r="358" spans="1:17" x14ac:dyDescent="0.25">
      <c r="A358" s="1">
        <v>43252</v>
      </c>
      <c r="B358" s="2" t="s">
        <v>4896</v>
      </c>
      <c r="C358" s="2" t="s">
        <v>4897</v>
      </c>
      <c r="D358" s="2">
        <v>25487</v>
      </c>
      <c r="E358" s="2" t="s">
        <v>4898</v>
      </c>
      <c r="F358" s="2" t="s">
        <v>4899</v>
      </c>
      <c r="G358" s="2" t="s">
        <v>4900</v>
      </c>
      <c r="H358" s="2">
        <v>7180219445.5200005</v>
      </c>
      <c r="I358" s="2">
        <v>13975</v>
      </c>
      <c r="J358" s="2">
        <v>28.61660826</v>
      </c>
      <c r="K358" s="2" t="s">
        <v>4901</v>
      </c>
      <c r="L358" s="2">
        <v>10450677.235200001</v>
      </c>
      <c r="M358" s="2">
        <v>74181</v>
      </c>
      <c r="N358" s="2" t="s">
        <v>4902</v>
      </c>
      <c r="O358" s="2">
        <v>3.6200000000000002E-4</v>
      </c>
      <c r="P358" s="2">
        <v>16372661</v>
      </c>
      <c r="Q358" s="2">
        <v>559</v>
      </c>
    </row>
    <row r="359" spans="1:17" x14ac:dyDescent="0.25">
      <c r="A359" s="1">
        <v>43251</v>
      </c>
      <c r="B359" s="2" t="s">
        <v>4903</v>
      </c>
      <c r="C359" s="2" t="s">
        <v>4904</v>
      </c>
      <c r="D359" s="2">
        <v>26334</v>
      </c>
      <c r="E359" s="2" t="s">
        <v>4905</v>
      </c>
      <c r="F359" s="2" t="s">
        <v>4906</v>
      </c>
      <c r="G359" s="2" t="s">
        <v>4907</v>
      </c>
      <c r="H359" s="2">
        <v>7182236344.4300003</v>
      </c>
      <c r="I359" s="2">
        <v>14025</v>
      </c>
      <c r="J359" s="2">
        <v>30.863746849999998</v>
      </c>
      <c r="K359" s="2" t="s">
        <v>4908</v>
      </c>
      <c r="L359" s="2">
        <v>10849156.107799999</v>
      </c>
      <c r="M359" s="2">
        <v>74137</v>
      </c>
      <c r="N359" s="2" t="s">
        <v>4909</v>
      </c>
      <c r="O359" s="2">
        <v>3.7399999999999998E-4</v>
      </c>
      <c r="P359" s="2">
        <v>17674925</v>
      </c>
      <c r="Q359" s="2">
        <v>561</v>
      </c>
    </row>
    <row r="360" spans="1:17" x14ac:dyDescent="0.25">
      <c r="A360" s="1">
        <v>43250</v>
      </c>
      <c r="B360" s="2" t="s">
        <v>4910</v>
      </c>
      <c r="C360" s="2" t="s">
        <v>4911</v>
      </c>
      <c r="D360" s="2">
        <v>25487</v>
      </c>
      <c r="E360" s="2" t="s">
        <v>4912</v>
      </c>
      <c r="F360" s="2" t="s">
        <v>4913</v>
      </c>
      <c r="G360" s="2" t="s">
        <v>4914</v>
      </c>
      <c r="H360" s="2">
        <v>7184289820.5100002</v>
      </c>
      <c r="I360" s="2">
        <v>12800</v>
      </c>
      <c r="J360" s="2">
        <v>32.955865609999996</v>
      </c>
      <c r="K360" s="2" t="s">
        <v>4915</v>
      </c>
      <c r="L360" s="2">
        <v>10923291.711999999</v>
      </c>
      <c r="M360" s="2">
        <v>74978</v>
      </c>
      <c r="N360" s="2" t="s">
        <v>4916</v>
      </c>
      <c r="O360" s="2">
        <v>3.6200000000000002E-4</v>
      </c>
      <c r="P360" s="2">
        <v>17916614</v>
      </c>
      <c r="Q360" s="2">
        <v>512</v>
      </c>
    </row>
    <row r="361" spans="1:17" x14ac:dyDescent="0.25">
      <c r="A361" s="1">
        <v>43249</v>
      </c>
      <c r="B361" s="2" t="s">
        <v>4917</v>
      </c>
      <c r="C361" s="2" t="s">
        <v>4918</v>
      </c>
      <c r="D361" s="2">
        <v>26702</v>
      </c>
      <c r="E361" s="2" t="s">
        <v>4919</v>
      </c>
      <c r="F361" s="2" t="s">
        <v>4920</v>
      </c>
      <c r="G361" s="2" t="s">
        <v>4921</v>
      </c>
      <c r="H361" s="2">
        <v>7196755908.1700001</v>
      </c>
      <c r="I361" s="2">
        <v>14300</v>
      </c>
      <c r="J361" s="2">
        <v>34.739722710000002</v>
      </c>
      <c r="K361" s="2" t="s">
        <v>4922</v>
      </c>
      <c r="L361" s="2">
        <v>10923291.711999999</v>
      </c>
      <c r="M361" s="2">
        <v>75767</v>
      </c>
      <c r="N361" s="2" t="s">
        <v>4923</v>
      </c>
      <c r="O361" s="2">
        <v>3.6296000000000001E-4</v>
      </c>
      <c r="P361" s="2">
        <v>17850608</v>
      </c>
      <c r="Q361" s="2">
        <v>572</v>
      </c>
    </row>
    <row r="362" spans="1:17" x14ac:dyDescent="0.25">
      <c r="A362" s="1">
        <v>43248</v>
      </c>
      <c r="B362" s="2" t="s">
        <v>4924</v>
      </c>
      <c r="C362" s="2" t="s">
        <v>4925</v>
      </c>
      <c r="D362" s="2">
        <v>25213</v>
      </c>
      <c r="E362" s="2" t="s">
        <v>4926</v>
      </c>
      <c r="F362" s="2" t="s">
        <v>4927</v>
      </c>
      <c r="G362" s="2" t="s">
        <v>4928</v>
      </c>
      <c r="H362" s="2">
        <v>7198994430.7700005</v>
      </c>
      <c r="I362" s="2">
        <v>14275</v>
      </c>
      <c r="J362" s="2">
        <v>30.808858300000001</v>
      </c>
      <c r="K362" s="2" t="s">
        <v>4929</v>
      </c>
      <c r="L362" s="2">
        <v>10998741.840399999</v>
      </c>
      <c r="M362" s="2">
        <v>76887</v>
      </c>
      <c r="N362" s="2" t="s">
        <v>4930</v>
      </c>
      <c r="O362" s="2">
        <v>3.7300000000000001E-4</v>
      </c>
      <c r="P362" s="2">
        <v>17180581</v>
      </c>
      <c r="Q362" s="2">
        <v>571</v>
      </c>
    </row>
    <row r="363" spans="1:17" x14ac:dyDescent="0.25">
      <c r="A363" s="1">
        <v>43247</v>
      </c>
      <c r="B363" s="2" t="s">
        <v>4931</v>
      </c>
      <c r="C363" s="2" t="s">
        <v>4932</v>
      </c>
      <c r="D363" s="2">
        <v>21214</v>
      </c>
      <c r="E363" s="2" t="s">
        <v>4933</v>
      </c>
      <c r="F363" s="2" t="s">
        <v>4934</v>
      </c>
      <c r="G363" s="2" t="s">
        <v>4935</v>
      </c>
      <c r="H363" s="2">
        <v>7210311491.2399998</v>
      </c>
      <c r="I363" s="2">
        <v>14250</v>
      </c>
      <c r="J363" s="2">
        <v>32.582208299999998</v>
      </c>
      <c r="K363" s="2" t="s">
        <v>4936</v>
      </c>
      <c r="L363" s="2">
        <v>11307952.634500001</v>
      </c>
      <c r="M363" s="2">
        <v>69075</v>
      </c>
      <c r="N363" s="2" t="s">
        <v>4937</v>
      </c>
      <c r="O363" s="2">
        <v>3.7399999999999998E-4</v>
      </c>
      <c r="P363" s="2">
        <v>20361660</v>
      </c>
      <c r="Q363" s="2">
        <v>570</v>
      </c>
    </row>
    <row r="364" spans="1:17" x14ac:dyDescent="0.25">
      <c r="A364" s="1">
        <v>43246</v>
      </c>
      <c r="B364" s="2" t="s">
        <v>4938</v>
      </c>
      <c r="C364" s="2" t="s">
        <v>4939</v>
      </c>
      <c r="D364" s="2">
        <v>22351</v>
      </c>
      <c r="E364" s="2" t="s">
        <v>4940</v>
      </c>
      <c r="F364" s="2" t="s">
        <v>4941</v>
      </c>
      <c r="G364" s="2" t="s">
        <v>4942</v>
      </c>
      <c r="H364" s="2">
        <v>7210334223.8000002</v>
      </c>
      <c r="I364" s="2">
        <v>13275</v>
      </c>
      <c r="J364" s="2">
        <v>31.990803660000001</v>
      </c>
      <c r="K364" s="2" t="s">
        <v>4943</v>
      </c>
      <c r="L364" s="2">
        <v>11307952.634500001</v>
      </c>
      <c r="M364" s="2">
        <v>73191</v>
      </c>
      <c r="N364" s="2" t="s">
        <v>4944</v>
      </c>
      <c r="O364" s="2">
        <v>3.7199999999999999E-4</v>
      </c>
      <c r="P364" s="2">
        <v>17006432</v>
      </c>
      <c r="Q364" s="2">
        <v>531</v>
      </c>
    </row>
    <row r="365" spans="1:17" x14ac:dyDescent="0.25">
      <c r="A365" s="1">
        <v>43245</v>
      </c>
      <c r="B365" s="2" t="s">
        <v>4945</v>
      </c>
      <c r="C365" s="2" t="s">
        <v>4946</v>
      </c>
      <c r="D365" s="2">
        <v>27911</v>
      </c>
      <c r="E365" s="2" t="s">
        <v>4947</v>
      </c>
      <c r="F365" s="2" t="s">
        <v>4948</v>
      </c>
      <c r="G365" s="2" t="s">
        <v>4949</v>
      </c>
      <c r="H365" s="2">
        <v>7212214680.4700003</v>
      </c>
      <c r="I365" s="2">
        <v>13900</v>
      </c>
      <c r="J365" s="2">
        <v>32.121938440000001</v>
      </c>
      <c r="K365" s="2" t="s">
        <v>4950</v>
      </c>
      <c r="L365" s="2">
        <v>11307952.634500001</v>
      </c>
      <c r="M365" s="2">
        <v>76588</v>
      </c>
      <c r="N365" s="2" t="s">
        <v>4951</v>
      </c>
      <c r="O365" s="2">
        <v>2.5799999999999998E-4</v>
      </c>
      <c r="P365" s="2">
        <v>17371168</v>
      </c>
      <c r="Q365" s="2">
        <v>556</v>
      </c>
    </row>
    <row r="366" spans="1:17" x14ac:dyDescent="0.25">
      <c r="A366" s="1">
        <v>43244</v>
      </c>
      <c r="B366" s="2" t="s">
        <v>4952</v>
      </c>
      <c r="C366" s="2" t="s">
        <v>4953</v>
      </c>
      <c r="D366" s="2">
        <v>31260</v>
      </c>
      <c r="E366" s="2" t="s">
        <v>4954</v>
      </c>
      <c r="F366" s="2" t="s">
        <v>4955</v>
      </c>
      <c r="G366" s="2" t="s">
        <v>4956</v>
      </c>
      <c r="H366" s="2">
        <v>7216294284.6199999</v>
      </c>
      <c r="I366" s="2">
        <v>15025</v>
      </c>
      <c r="J366" s="2">
        <v>31.586663959999999</v>
      </c>
      <c r="K366" s="2" t="s">
        <v>4957</v>
      </c>
      <c r="L366" s="2">
        <v>10926181.378799999</v>
      </c>
      <c r="M366" s="2">
        <v>82553</v>
      </c>
      <c r="N366" s="2" t="s">
        <v>4958</v>
      </c>
      <c r="O366" s="2">
        <v>2.2599999999999999E-4</v>
      </c>
      <c r="P366" s="2">
        <v>17933377</v>
      </c>
      <c r="Q366" s="2">
        <v>601</v>
      </c>
    </row>
    <row r="367" spans="1:17" x14ac:dyDescent="0.25">
      <c r="A367" s="1">
        <v>43243</v>
      </c>
      <c r="B367" s="2" t="s">
        <v>4959</v>
      </c>
      <c r="C367" s="2" t="s">
        <v>4960</v>
      </c>
      <c r="D367" s="2">
        <v>34215</v>
      </c>
      <c r="E367" s="2" t="s">
        <v>4961</v>
      </c>
      <c r="F367" s="2" t="s">
        <v>4962</v>
      </c>
      <c r="G367" s="2" t="s">
        <v>4963</v>
      </c>
      <c r="H367" s="2">
        <v>7219991396.0699997</v>
      </c>
      <c r="I367" s="2">
        <v>15575</v>
      </c>
      <c r="J367" s="2">
        <v>36.683020310000003</v>
      </c>
      <c r="K367" s="2" t="s">
        <v>4964</v>
      </c>
      <c r="L367" s="2">
        <v>10659804.2597</v>
      </c>
      <c r="M367" s="2">
        <v>85388</v>
      </c>
      <c r="N367" s="2" t="s">
        <v>4965</v>
      </c>
      <c r="O367" s="2">
        <v>2.2599999999999999E-4</v>
      </c>
      <c r="P367" s="2">
        <v>21101528</v>
      </c>
      <c r="Q367" s="2">
        <v>623</v>
      </c>
    </row>
    <row r="368" spans="1:17" x14ac:dyDescent="0.25">
      <c r="A368" s="1">
        <v>43242</v>
      </c>
      <c r="B368" s="2" t="s">
        <v>4966</v>
      </c>
      <c r="C368" s="2" t="s">
        <v>4967</v>
      </c>
      <c r="D368" s="2">
        <v>31372</v>
      </c>
      <c r="E368" s="2" t="s">
        <v>4968</v>
      </c>
      <c r="F368" s="2" t="s">
        <v>4969</v>
      </c>
      <c r="G368" s="2" t="s">
        <v>4970</v>
      </c>
      <c r="H368" s="2">
        <v>7228447176.1599998</v>
      </c>
      <c r="I368" s="2">
        <v>15200</v>
      </c>
      <c r="J368" s="2">
        <v>33.1092899</v>
      </c>
      <c r="K368" s="2" t="s">
        <v>4971</v>
      </c>
      <c r="L368" s="2">
        <v>10659804.2597</v>
      </c>
      <c r="M368" s="2">
        <v>82723</v>
      </c>
      <c r="N368" s="2" t="s">
        <v>4972</v>
      </c>
      <c r="O368" s="2">
        <v>2.2652999999999999E-4</v>
      </c>
      <c r="P368" s="2">
        <v>19149115</v>
      </c>
      <c r="Q368" s="2">
        <v>608</v>
      </c>
    </row>
    <row r="369" spans="1:17" x14ac:dyDescent="0.25">
      <c r="A369" s="1">
        <v>43241</v>
      </c>
      <c r="B369" s="2" t="s">
        <v>4973</v>
      </c>
      <c r="C369" s="2" t="s">
        <v>4974</v>
      </c>
      <c r="D369" s="2">
        <v>30491</v>
      </c>
      <c r="E369" s="2" t="s">
        <v>4975</v>
      </c>
      <c r="F369" s="2" t="s">
        <v>4976</v>
      </c>
      <c r="G369" s="2" t="s">
        <v>4977</v>
      </c>
      <c r="H369" s="2">
        <v>7244581061.4399996</v>
      </c>
      <c r="I369" s="2">
        <v>14400</v>
      </c>
      <c r="J369" s="2">
        <v>35.777945469999999</v>
      </c>
      <c r="K369" s="2" t="s">
        <v>4978</v>
      </c>
      <c r="L369" s="2">
        <v>10653678.3551</v>
      </c>
      <c r="M369" s="2">
        <v>91294</v>
      </c>
      <c r="N369" s="2" t="s">
        <v>4979</v>
      </c>
      <c r="O369" s="2">
        <v>2.2699999999999999E-4</v>
      </c>
      <c r="P369" s="2">
        <v>20289280</v>
      </c>
      <c r="Q369" s="2">
        <v>576</v>
      </c>
    </row>
    <row r="370" spans="1:17" x14ac:dyDescent="0.25">
      <c r="A370" s="1">
        <v>43240</v>
      </c>
      <c r="B370" s="2" t="s">
        <v>4980</v>
      </c>
      <c r="C370" s="2" t="s">
        <v>4981</v>
      </c>
      <c r="D370" s="2">
        <v>26436</v>
      </c>
      <c r="E370" s="2" t="s">
        <v>4982</v>
      </c>
      <c r="F370" s="2" t="s">
        <v>4983</v>
      </c>
      <c r="G370" s="2" t="s">
        <v>4984</v>
      </c>
      <c r="H370" s="2">
        <v>7246949487.3000002</v>
      </c>
      <c r="I370" s="2">
        <v>15400</v>
      </c>
      <c r="J370" s="2">
        <v>27.765178519999999</v>
      </c>
      <c r="K370" s="2" t="s">
        <v>4985</v>
      </c>
      <c r="L370" s="2">
        <v>10635469.631999999</v>
      </c>
      <c r="M370" s="2">
        <v>65466</v>
      </c>
      <c r="N370" s="2" t="s">
        <v>4986</v>
      </c>
      <c r="O370" s="2">
        <v>2.2599999999999999E-4</v>
      </c>
      <c r="P370" s="2">
        <v>15591292</v>
      </c>
      <c r="Q370" s="2">
        <v>616</v>
      </c>
    </row>
    <row r="371" spans="1:17" x14ac:dyDescent="0.25">
      <c r="A371" s="1">
        <v>43239</v>
      </c>
      <c r="B371" s="2" t="s">
        <v>4987</v>
      </c>
      <c r="C371" s="2" t="s">
        <v>4988</v>
      </c>
      <c r="D371" s="2">
        <v>26596</v>
      </c>
      <c r="E371" s="2" t="s">
        <v>4989</v>
      </c>
      <c r="F371" s="2" t="s">
        <v>4990</v>
      </c>
      <c r="G371" s="2" t="s">
        <v>4991</v>
      </c>
      <c r="H371" s="2">
        <v>7244821211.3299999</v>
      </c>
      <c r="I371" s="2">
        <v>13400</v>
      </c>
      <c r="J371" s="2">
        <v>29.709750880000001</v>
      </c>
      <c r="K371" s="2" t="s">
        <v>4992</v>
      </c>
      <c r="L371" s="2">
        <v>10635469.631999999</v>
      </c>
      <c r="M371" s="2">
        <v>75695</v>
      </c>
      <c r="N371" s="2" t="s">
        <v>4993</v>
      </c>
      <c r="O371" s="2">
        <v>2.2599999999999999E-4</v>
      </c>
      <c r="P371" s="2">
        <v>17213324</v>
      </c>
      <c r="Q371" s="2">
        <v>536</v>
      </c>
    </row>
    <row r="372" spans="1:17" x14ac:dyDescent="0.25">
      <c r="A372" s="1">
        <v>43238</v>
      </c>
      <c r="B372" s="2" t="s">
        <v>4994</v>
      </c>
      <c r="C372" s="2" t="s">
        <v>4995</v>
      </c>
      <c r="D372" s="2">
        <v>30415</v>
      </c>
      <c r="E372" s="2" t="s">
        <v>4996</v>
      </c>
      <c r="F372" s="2" t="s">
        <v>4997</v>
      </c>
      <c r="G372" s="2" t="s">
        <v>4998</v>
      </c>
      <c r="H372" s="2">
        <v>7245094786.0900002</v>
      </c>
      <c r="I372" s="2">
        <v>14675</v>
      </c>
      <c r="J372" s="2">
        <v>34.913571429999998</v>
      </c>
      <c r="K372" s="2" t="s">
        <v>4999</v>
      </c>
      <c r="L372" s="2">
        <v>10635469.631999999</v>
      </c>
      <c r="M372" s="2">
        <v>82236</v>
      </c>
      <c r="N372" s="2" t="s">
        <v>5000</v>
      </c>
      <c r="O372" s="2">
        <v>2.2651999999999999E-4</v>
      </c>
      <c r="P372" s="2">
        <v>18994484</v>
      </c>
      <c r="Q372" s="2">
        <v>587</v>
      </c>
    </row>
    <row r="373" spans="1:17" x14ac:dyDescent="0.25">
      <c r="A373" s="1">
        <v>43237</v>
      </c>
      <c r="B373" s="2" t="s">
        <v>5001</v>
      </c>
      <c r="C373" s="2" t="s">
        <v>5002</v>
      </c>
      <c r="D373" s="2">
        <v>31063</v>
      </c>
      <c r="E373" s="2" t="s">
        <v>5003</v>
      </c>
      <c r="F373" s="2" t="s">
        <v>5004</v>
      </c>
      <c r="G373" s="2" t="s">
        <v>5005</v>
      </c>
      <c r="H373" s="2">
        <v>7242872176.0299997</v>
      </c>
      <c r="I373" s="2">
        <v>14700</v>
      </c>
      <c r="J373" s="2">
        <v>35.543014749999998</v>
      </c>
      <c r="K373" s="2" t="s">
        <v>5006</v>
      </c>
      <c r="L373" s="2">
        <v>10469116.7147</v>
      </c>
      <c r="M373" s="2">
        <v>83236</v>
      </c>
      <c r="N373" s="2" t="s">
        <v>5007</v>
      </c>
      <c r="O373" s="2">
        <v>2.5999999999999998E-4</v>
      </c>
      <c r="P373" s="2">
        <v>19337565</v>
      </c>
      <c r="Q373" s="2">
        <v>588</v>
      </c>
    </row>
    <row r="374" spans="1:17" x14ac:dyDescent="0.25">
      <c r="A374" s="1">
        <v>43236</v>
      </c>
      <c r="B374" s="2" t="s">
        <v>5008</v>
      </c>
      <c r="C374" s="2" t="s">
        <v>5009</v>
      </c>
      <c r="D374" s="2">
        <v>31414</v>
      </c>
      <c r="E374" s="2" t="s">
        <v>5010</v>
      </c>
      <c r="F374" s="2" t="s">
        <v>5011</v>
      </c>
      <c r="G374" s="2" t="s">
        <v>5012</v>
      </c>
      <c r="H374" s="2">
        <v>7248978952.8299999</v>
      </c>
      <c r="I374" s="2">
        <v>15400</v>
      </c>
      <c r="J374" s="2">
        <v>34.279284599999997</v>
      </c>
      <c r="K374" s="2" t="s">
        <v>5013</v>
      </c>
      <c r="L374" s="2">
        <v>10420961.922900001</v>
      </c>
      <c r="M374" s="2">
        <v>85931</v>
      </c>
      <c r="N374" s="2" t="s">
        <v>5014</v>
      </c>
      <c r="O374" s="2">
        <v>2.2661E-4</v>
      </c>
      <c r="P374" s="2">
        <v>19276151</v>
      </c>
      <c r="Q374" s="2">
        <v>616</v>
      </c>
    </row>
    <row r="375" spans="1:17" x14ac:dyDescent="0.25">
      <c r="A375" s="1">
        <v>43235</v>
      </c>
      <c r="B375" s="2" t="s">
        <v>5015</v>
      </c>
      <c r="C375" s="2" t="s">
        <v>5016</v>
      </c>
      <c r="D375" s="2">
        <v>31630</v>
      </c>
      <c r="E375" s="2" t="s">
        <v>5017</v>
      </c>
      <c r="F375" s="2" t="s">
        <v>5018</v>
      </c>
      <c r="G375" s="2" t="s">
        <v>5019</v>
      </c>
      <c r="H375" s="2">
        <v>7255037732.1199999</v>
      </c>
      <c r="I375" s="2">
        <v>14275</v>
      </c>
      <c r="J375" s="2">
        <v>36.333521419999997</v>
      </c>
      <c r="K375" s="2" t="s">
        <v>5020</v>
      </c>
      <c r="L375" s="2">
        <v>10420961.922900001</v>
      </c>
      <c r="M375" s="2">
        <v>85435</v>
      </c>
      <c r="N375" s="2" t="s">
        <v>5021</v>
      </c>
      <c r="O375" s="2">
        <v>2.2651999999999999E-4</v>
      </c>
      <c r="P375" s="2">
        <v>19334043</v>
      </c>
      <c r="Q375" s="2">
        <v>571</v>
      </c>
    </row>
    <row r="376" spans="1:17" x14ac:dyDescent="0.25">
      <c r="A376" s="1">
        <v>43234</v>
      </c>
      <c r="B376" s="2" t="s">
        <v>5022</v>
      </c>
      <c r="C376" s="2" t="s">
        <v>5023</v>
      </c>
      <c r="D376" s="2">
        <v>32093</v>
      </c>
      <c r="E376" s="2" t="s">
        <v>5024</v>
      </c>
      <c r="F376" s="2" t="s">
        <v>5025</v>
      </c>
      <c r="G376" s="2" t="s">
        <v>5026</v>
      </c>
      <c r="H376" s="2">
        <v>7259049316</v>
      </c>
      <c r="I376" s="2">
        <v>14250</v>
      </c>
      <c r="J376" s="2">
        <v>37.584194889999999</v>
      </c>
      <c r="K376" s="2" t="s">
        <v>5027</v>
      </c>
      <c r="L376" s="2">
        <v>10267458.366800001</v>
      </c>
      <c r="M376" s="2">
        <v>94218</v>
      </c>
      <c r="N376" s="2" t="s">
        <v>5028</v>
      </c>
      <c r="O376" s="2">
        <v>2.3299E-4</v>
      </c>
      <c r="P376" s="2">
        <v>21121318</v>
      </c>
      <c r="Q376" s="2">
        <v>570</v>
      </c>
    </row>
    <row r="377" spans="1:17" x14ac:dyDescent="0.25">
      <c r="A377" s="1">
        <v>43233</v>
      </c>
      <c r="B377" s="2" t="s">
        <v>5029</v>
      </c>
      <c r="C377" s="2" t="s">
        <v>5030</v>
      </c>
      <c r="D377" s="2">
        <v>27074</v>
      </c>
      <c r="E377" s="2" t="s">
        <v>5031</v>
      </c>
      <c r="F377" s="2" t="s">
        <v>5032</v>
      </c>
      <c r="G377" s="2" t="s">
        <v>5033</v>
      </c>
      <c r="H377" s="2">
        <v>7255594645.1700001</v>
      </c>
      <c r="I377" s="2">
        <v>15700</v>
      </c>
      <c r="J377" s="2">
        <v>28.261575950000001</v>
      </c>
      <c r="K377" s="2" t="s">
        <v>5034</v>
      </c>
      <c r="L377" s="2">
        <v>9976814.5779199991</v>
      </c>
      <c r="M377" s="2">
        <v>66089</v>
      </c>
      <c r="N377" s="2" t="s">
        <v>5035</v>
      </c>
      <c r="O377" s="2">
        <v>2.2654000000000001E-4</v>
      </c>
      <c r="P377" s="2">
        <v>16345907</v>
      </c>
      <c r="Q377" s="2">
        <v>628</v>
      </c>
    </row>
    <row r="378" spans="1:17" x14ac:dyDescent="0.25">
      <c r="A378" s="1">
        <v>43232</v>
      </c>
      <c r="B378" s="2" t="s">
        <v>5036</v>
      </c>
      <c r="C378" s="2" t="s">
        <v>5037</v>
      </c>
      <c r="D378" s="2">
        <v>28876</v>
      </c>
      <c r="E378" s="2" t="s">
        <v>5038</v>
      </c>
      <c r="F378" s="2" t="s">
        <v>5039</v>
      </c>
      <c r="G378" s="2" t="s">
        <v>5040</v>
      </c>
      <c r="H378" s="2">
        <v>7256413012.8800001</v>
      </c>
      <c r="I378" s="2">
        <v>14450</v>
      </c>
      <c r="J378" s="2">
        <v>30.51628878</v>
      </c>
      <c r="K378" s="2" t="s">
        <v>5041</v>
      </c>
      <c r="L378" s="2">
        <v>9976814.5779199991</v>
      </c>
      <c r="M378" s="2">
        <v>86451</v>
      </c>
      <c r="N378" s="2" t="s">
        <v>5042</v>
      </c>
      <c r="O378" s="2">
        <v>2.2698999999999999E-4</v>
      </c>
      <c r="P378" s="2">
        <v>18019440</v>
      </c>
      <c r="Q378" s="2">
        <v>578</v>
      </c>
    </row>
    <row r="379" spans="1:17" x14ac:dyDescent="0.25">
      <c r="A379" s="1">
        <v>43231</v>
      </c>
      <c r="B379" s="2" t="s">
        <v>5043</v>
      </c>
      <c r="C379" s="2" t="s">
        <v>5044</v>
      </c>
      <c r="D379" s="2">
        <v>33882</v>
      </c>
      <c r="E379" s="2" t="s">
        <v>5045</v>
      </c>
      <c r="F379" s="2" t="s">
        <v>5046</v>
      </c>
      <c r="G379" s="2" t="s">
        <v>5047</v>
      </c>
      <c r="H379" s="2">
        <v>7257103067.6300001</v>
      </c>
      <c r="I379" s="2">
        <v>15175</v>
      </c>
      <c r="J379" s="2">
        <v>36.104283090000003</v>
      </c>
      <c r="K379" s="2" t="s">
        <v>5048</v>
      </c>
      <c r="L379" s="2">
        <v>9976814.5779199991</v>
      </c>
      <c r="M379" s="2">
        <v>91598</v>
      </c>
      <c r="N379" s="2" t="s">
        <v>5049</v>
      </c>
      <c r="O379" s="2">
        <v>2.2730999999999999E-4</v>
      </c>
      <c r="P379" s="2">
        <v>20670086</v>
      </c>
      <c r="Q379" s="2">
        <v>607</v>
      </c>
    </row>
    <row r="380" spans="1:17" x14ac:dyDescent="0.25">
      <c r="A380" s="1">
        <v>43230</v>
      </c>
      <c r="B380" s="2" t="s">
        <v>5050</v>
      </c>
      <c r="C380" s="2" t="s">
        <v>5051</v>
      </c>
      <c r="D380" s="2">
        <v>31719</v>
      </c>
      <c r="E380" s="2" t="s">
        <v>5052</v>
      </c>
      <c r="F380" s="2" t="s">
        <v>5053</v>
      </c>
      <c r="G380" s="2" t="s">
        <v>5054</v>
      </c>
      <c r="H380" s="2">
        <v>7268350008.2299995</v>
      </c>
      <c r="I380" s="2">
        <v>14950</v>
      </c>
      <c r="J380" s="2">
        <v>37.170207130000001</v>
      </c>
      <c r="K380" s="2" t="s">
        <v>5055</v>
      </c>
      <c r="L380" s="2">
        <v>9760988.58794</v>
      </c>
      <c r="M380" s="2">
        <v>90171</v>
      </c>
      <c r="N380" s="2" t="s">
        <v>5056</v>
      </c>
      <c r="O380" s="2">
        <v>3.7399999999999998E-4</v>
      </c>
      <c r="P380" s="2">
        <v>19712319</v>
      </c>
      <c r="Q380" s="2">
        <v>598</v>
      </c>
    </row>
    <row r="381" spans="1:17" x14ac:dyDescent="0.25">
      <c r="A381" s="1">
        <v>43229</v>
      </c>
      <c r="B381" s="2" t="s">
        <v>5057</v>
      </c>
      <c r="C381" s="2" t="s">
        <v>5058</v>
      </c>
      <c r="D381" s="2">
        <v>31099</v>
      </c>
      <c r="E381" s="2" t="s">
        <v>5059</v>
      </c>
      <c r="F381" s="2" t="s">
        <v>5060</v>
      </c>
      <c r="G381" s="2" t="s">
        <v>5061</v>
      </c>
      <c r="H381" s="2">
        <v>7260042991.6199999</v>
      </c>
      <c r="I381" s="2">
        <v>14750</v>
      </c>
      <c r="J381" s="2">
        <v>35.498239560000002</v>
      </c>
      <c r="K381" s="2" t="s">
        <v>5062</v>
      </c>
      <c r="L381" s="2">
        <v>9758801.1623599995</v>
      </c>
      <c r="M381" s="2">
        <v>88931</v>
      </c>
      <c r="N381" s="2" t="s">
        <v>5063</v>
      </c>
      <c r="O381" s="2">
        <v>3.7399999999999998E-4</v>
      </c>
      <c r="P381" s="2">
        <v>19627019</v>
      </c>
      <c r="Q381" s="2">
        <v>590</v>
      </c>
    </row>
    <row r="382" spans="1:17" x14ac:dyDescent="0.25">
      <c r="A382" s="1">
        <v>43228</v>
      </c>
      <c r="B382" s="2" t="s">
        <v>5064</v>
      </c>
      <c r="C382" s="2" t="s">
        <v>5065</v>
      </c>
      <c r="D382" s="2">
        <v>31268</v>
      </c>
      <c r="E382" s="2" t="s">
        <v>5066</v>
      </c>
      <c r="F382" s="2" t="s">
        <v>5067</v>
      </c>
      <c r="G382" s="2" t="s">
        <v>5068</v>
      </c>
      <c r="H382" s="2">
        <v>7258247810.5600004</v>
      </c>
      <c r="I382" s="2">
        <v>14600</v>
      </c>
      <c r="J382" s="2">
        <v>36.887403339999999</v>
      </c>
      <c r="K382" s="2" t="s">
        <v>5069</v>
      </c>
      <c r="L382" s="2">
        <v>9758801.1623599995</v>
      </c>
      <c r="M382" s="2">
        <v>91430</v>
      </c>
      <c r="N382" s="2" t="s">
        <v>5070</v>
      </c>
      <c r="O382" s="2">
        <v>2.6362999999999999E-4</v>
      </c>
      <c r="P382" s="2">
        <v>20505802</v>
      </c>
      <c r="Q382" s="2">
        <v>584</v>
      </c>
    </row>
    <row r="383" spans="1:17" x14ac:dyDescent="0.25">
      <c r="A383" s="1">
        <v>43227</v>
      </c>
      <c r="B383" s="2" t="s">
        <v>5071</v>
      </c>
      <c r="C383" s="2" t="s">
        <v>5072</v>
      </c>
      <c r="D383" s="2">
        <v>31101</v>
      </c>
      <c r="E383" s="2" t="s">
        <v>5073</v>
      </c>
      <c r="F383" s="2" t="s">
        <v>5074</v>
      </c>
      <c r="G383" s="2" t="s">
        <v>5075</v>
      </c>
      <c r="H383" s="2">
        <v>7259266745.8800001</v>
      </c>
      <c r="I383" s="2">
        <v>14775</v>
      </c>
      <c r="J383" s="2">
        <v>38.212865430000001</v>
      </c>
      <c r="K383" s="2" t="s">
        <v>5076</v>
      </c>
      <c r="L383" s="2">
        <v>9320943.3898099996</v>
      </c>
      <c r="M383" s="2">
        <v>89244</v>
      </c>
      <c r="N383" s="2" t="s">
        <v>5074</v>
      </c>
      <c r="O383" s="2">
        <v>3.7074999999999999E-4</v>
      </c>
      <c r="P383" s="2">
        <v>21571321</v>
      </c>
      <c r="Q383" s="2">
        <v>591</v>
      </c>
    </row>
    <row r="384" spans="1:17" x14ac:dyDescent="0.25">
      <c r="A384" s="1">
        <v>43226</v>
      </c>
      <c r="B384" s="2" t="s">
        <v>5077</v>
      </c>
      <c r="C384" s="2" t="s">
        <v>5078</v>
      </c>
      <c r="D384" s="2">
        <v>28210</v>
      </c>
      <c r="E384" s="2" t="s">
        <v>5079</v>
      </c>
      <c r="F384" s="2" t="s">
        <v>5080</v>
      </c>
      <c r="G384" s="2" t="s">
        <v>5081</v>
      </c>
      <c r="H384" s="2">
        <v>7242294879.6099997</v>
      </c>
      <c r="I384" s="2">
        <v>15850</v>
      </c>
      <c r="J384" s="2">
        <v>33.75906896</v>
      </c>
      <c r="K384" s="2" t="s">
        <v>5082</v>
      </c>
      <c r="L384" s="2">
        <v>8999933.2926199995</v>
      </c>
      <c r="M384" s="2">
        <v>88101</v>
      </c>
      <c r="N384" s="2" t="s">
        <v>5083</v>
      </c>
      <c r="O384" s="2">
        <v>3.2738999999999999E-4</v>
      </c>
      <c r="P384" s="2">
        <v>18557602</v>
      </c>
      <c r="Q384" s="2">
        <v>634</v>
      </c>
    </row>
    <row r="385" spans="1:17" x14ac:dyDescent="0.25">
      <c r="A385" s="1">
        <v>43225</v>
      </c>
      <c r="B385" s="2" t="s">
        <v>5084</v>
      </c>
      <c r="C385" s="2" t="s">
        <v>5085</v>
      </c>
      <c r="D385" s="2">
        <v>33200</v>
      </c>
      <c r="E385" s="2" t="s">
        <v>5086</v>
      </c>
      <c r="F385" s="2" t="s">
        <v>5087</v>
      </c>
      <c r="G385" s="2" t="s">
        <v>5088</v>
      </c>
      <c r="H385" s="2">
        <v>7152737092.7200003</v>
      </c>
      <c r="I385" s="2">
        <v>16075</v>
      </c>
      <c r="J385" s="2">
        <v>39.301147589999999</v>
      </c>
      <c r="K385" s="2" t="s">
        <v>5089</v>
      </c>
      <c r="L385" s="2">
        <v>8999933.2926199995</v>
      </c>
      <c r="M385" s="2">
        <v>93397</v>
      </c>
      <c r="N385" s="2" t="s">
        <v>5090</v>
      </c>
      <c r="O385" s="2">
        <v>2.9399999999999999E-4</v>
      </c>
      <c r="P385" s="2">
        <v>22249159</v>
      </c>
      <c r="Q385" s="2">
        <v>643</v>
      </c>
    </row>
    <row r="386" spans="1:17" x14ac:dyDescent="0.25">
      <c r="A386" s="1">
        <v>43224</v>
      </c>
      <c r="B386" s="2" t="s">
        <v>5091</v>
      </c>
      <c r="C386" s="2" t="s">
        <v>5092</v>
      </c>
      <c r="D386" s="2">
        <v>35402</v>
      </c>
      <c r="E386" s="2" t="s">
        <v>5093</v>
      </c>
      <c r="F386" s="2" t="s">
        <v>5094</v>
      </c>
      <c r="G386" s="2" t="s">
        <v>5095</v>
      </c>
      <c r="H386" s="2">
        <v>7142176892.2299995</v>
      </c>
      <c r="I386" s="2">
        <v>14975</v>
      </c>
      <c r="J386" s="2">
        <v>39.071772719999998</v>
      </c>
      <c r="K386" s="2" t="s">
        <v>5096</v>
      </c>
      <c r="L386" s="2">
        <v>9002035.9853700008</v>
      </c>
      <c r="M386" s="2">
        <v>95097</v>
      </c>
      <c r="N386" s="2" t="s">
        <v>5097</v>
      </c>
      <c r="O386" s="2">
        <v>2.2699999999999999E-4</v>
      </c>
      <c r="P386" s="2">
        <v>22837782</v>
      </c>
      <c r="Q386" s="2">
        <v>599</v>
      </c>
    </row>
    <row r="387" spans="1:17" x14ac:dyDescent="0.25">
      <c r="A387" s="1">
        <v>43223</v>
      </c>
      <c r="B387" s="2" t="s">
        <v>5098</v>
      </c>
      <c r="C387" s="2" t="s">
        <v>5099</v>
      </c>
      <c r="D387" s="2">
        <v>36421</v>
      </c>
      <c r="E387" s="2" t="s">
        <v>5100</v>
      </c>
      <c r="F387" s="2" t="s">
        <v>5101</v>
      </c>
      <c r="G387" s="2" t="s">
        <v>5102</v>
      </c>
      <c r="H387" s="2">
        <v>7134170120.9499998</v>
      </c>
      <c r="I387" s="2">
        <v>14450</v>
      </c>
      <c r="J387" s="2">
        <v>45.123041239999999</v>
      </c>
      <c r="K387" s="2" t="s">
        <v>5103</v>
      </c>
      <c r="L387" s="2">
        <v>9006199.5262199994</v>
      </c>
      <c r="M387" s="2">
        <v>93729</v>
      </c>
      <c r="N387" s="2" t="s">
        <v>5104</v>
      </c>
      <c r="O387" s="2">
        <v>2.5999999999999998E-4</v>
      </c>
      <c r="P387" s="2">
        <v>26932619</v>
      </c>
      <c r="Q387" s="2">
        <v>578</v>
      </c>
    </row>
    <row r="388" spans="1:17" x14ac:dyDescent="0.25">
      <c r="A388" s="1">
        <v>43222</v>
      </c>
      <c r="B388" s="2" t="s">
        <v>5105</v>
      </c>
      <c r="C388" s="2" t="s">
        <v>5106</v>
      </c>
      <c r="D388" s="2">
        <v>32848</v>
      </c>
      <c r="E388" s="2" t="s">
        <v>5107</v>
      </c>
      <c r="F388" s="2" t="s">
        <v>5108</v>
      </c>
      <c r="G388" s="2" t="s">
        <v>5109</v>
      </c>
      <c r="H388" s="2">
        <v>7125043724.3100004</v>
      </c>
      <c r="I388" s="2">
        <v>13575</v>
      </c>
      <c r="J388" s="2">
        <v>38.937202130000003</v>
      </c>
      <c r="K388" s="2" t="s">
        <v>5110</v>
      </c>
      <c r="L388" s="2">
        <v>9006199.5262199994</v>
      </c>
      <c r="M388" s="2">
        <v>89388</v>
      </c>
      <c r="N388" s="2" t="s">
        <v>5111</v>
      </c>
      <c r="O388" s="2">
        <v>2.61E-4</v>
      </c>
      <c r="P388" s="2">
        <v>22624792</v>
      </c>
      <c r="Q388" s="2">
        <v>543</v>
      </c>
    </row>
    <row r="389" spans="1:17" x14ac:dyDescent="0.25">
      <c r="A389" s="1">
        <v>43221</v>
      </c>
      <c r="B389" s="2" t="s">
        <v>5112</v>
      </c>
      <c r="C389" s="2" t="s">
        <v>5113</v>
      </c>
      <c r="D389" s="2">
        <v>29737</v>
      </c>
      <c r="E389" s="2" t="s">
        <v>5114</v>
      </c>
      <c r="F389" s="2" t="s">
        <v>5115</v>
      </c>
      <c r="G389" s="2" t="s">
        <v>5116</v>
      </c>
      <c r="H389" s="2">
        <v>7121969449.6099997</v>
      </c>
      <c r="I389" s="2">
        <v>15050</v>
      </c>
      <c r="J389" s="2">
        <v>33.477539999999998</v>
      </c>
      <c r="K389" s="2" t="s">
        <v>5117</v>
      </c>
      <c r="L389" s="2">
        <v>9006199.5262199994</v>
      </c>
      <c r="M389" s="2">
        <v>89381</v>
      </c>
      <c r="N389" s="2" t="s">
        <v>5118</v>
      </c>
      <c r="O389" s="2">
        <v>2.4885E-4</v>
      </c>
      <c r="P389" s="2">
        <v>19085991</v>
      </c>
      <c r="Q389" s="2">
        <v>602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0028B-8F0C-4330-8256-357BF7DC4B11}">
  <dimension ref="A1:Q389"/>
  <sheetViews>
    <sheetView topLeftCell="A352" workbookViewId="0">
      <selection activeCell="E2" sqref="E2:E389"/>
    </sheetView>
  </sheetViews>
  <sheetFormatPr defaultRowHeight="15" x14ac:dyDescent="0.25"/>
  <cols>
    <col min="1" max="1" width="10.140625" bestFit="1" customWidth="1"/>
  </cols>
  <sheetData>
    <row r="1" spans="1:17" ht="15.75" x14ac:dyDescent="0.25">
      <c r="A1" s="3" t="s">
        <v>2207</v>
      </c>
      <c r="B1" s="3" t="s">
        <v>2208</v>
      </c>
      <c r="C1" s="3" t="s">
        <v>2192</v>
      </c>
      <c r="D1" s="3" t="s">
        <v>2193</v>
      </c>
      <c r="E1" s="3" t="s">
        <v>2209</v>
      </c>
      <c r="F1" s="3" t="s">
        <v>2210</v>
      </c>
      <c r="G1" s="3" t="s">
        <v>2211</v>
      </c>
      <c r="H1" s="3" t="s">
        <v>2197</v>
      </c>
      <c r="I1" s="3" t="s">
        <v>2198</v>
      </c>
      <c r="J1" s="3" t="s">
        <v>2212</v>
      </c>
      <c r="K1" s="3" t="s">
        <v>2200</v>
      </c>
      <c r="L1" s="3" t="s">
        <v>2201</v>
      </c>
      <c r="M1" s="3" t="s">
        <v>2202</v>
      </c>
      <c r="N1" s="3" t="s">
        <v>2203</v>
      </c>
      <c r="O1" s="3" t="s">
        <v>2204</v>
      </c>
      <c r="P1" s="3" t="s">
        <v>2205</v>
      </c>
      <c r="Q1" s="3" t="s">
        <v>2206</v>
      </c>
    </row>
    <row r="2" spans="1:17" x14ac:dyDescent="0.25">
      <c r="A2" s="1">
        <v>43608</v>
      </c>
      <c r="B2">
        <v>1992660210.03</v>
      </c>
      <c r="C2">
        <v>1074843833.01</v>
      </c>
      <c r="D2">
        <v>49317</v>
      </c>
      <c r="E2">
        <v>6968567554.1000004</v>
      </c>
      <c r="F2">
        <v>391.52</v>
      </c>
      <c r="G2">
        <v>2544348455</v>
      </c>
      <c r="H2">
        <v>5318022351.6800003</v>
      </c>
      <c r="I2">
        <v>1887.5</v>
      </c>
      <c r="J2">
        <v>0.68553900000000001</v>
      </c>
      <c r="K2">
        <v>37479</v>
      </c>
      <c r="L2">
        <v>315951492264</v>
      </c>
      <c r="M2">
        <v>22120</v>
      </c>
      <c r="N2">
        <v>0</v>
      </c>
      <c r="O2">
        <v>2.74E-6</v>
      </c>
      <c r="P2">
        <v>18086453</v>
      </c>
      <c r="Q2">
        <v>151</v>
      </c>
    </row>
    <row r="3" spans="1:17" x14ac:dyDescent="0.25">
      <c r="A3" s="1">
        <v>43607</v>
      </c>
      <c r="B3">
        <v>2810665835.6399999</v>
      </c>
      <c r="C3">
        <v>1097300331.05</v>
      </c>
      <c r="D3">
        <v>64438</v>
      </c>
      <c r="E3">
        <v>7426772450.3500004</v>
      </c>
      <c r="F3">
        <v>417.31</v>
      </c>
      <c r="G3">
        <v>2493471577</v>
      </c>
      <c r="H3">
        <v>5305224409.2200003</v>
      </c>
      <c r="I3">
        <v>1850</v>
      </c>
      <c r="J3">
        <v>0.85972707999999998</v>
      </c>
      <c r="K3">
        <v>43245</v>
      </c>
      <c r="L3">
        <v>315065800296</v>
      </c>
      <c r="M3">
        <v>29485</v>
      </c>
      <c r="N3">
        <v>0</v>
      </c>
      <c r="O3">
        <v>2.7300000000000001E-6</v>
      </c>
      <c r="P3">
        <v>21752671</v>
      </c>
      <c r="Q3">
        <v>148</v>
      </c>
    </row>
    <row r="4" spans="1:17" x14ac:dyDescent="0.25">
      <c r="A4" s="1">
        <v>43606</v>
      </c>
      <c r="B4">
        <v>3050602486.71</v>
      </c>
      <c r="C4">
        <v>1135612659.54</v>
      </c>
      <c r="D4">
        <v>56645</v>
      </c>
      <c r="E4">
        <v>7340796150.46</v>
      </c>
      <c r="F4">
        <v>412.52</v>
      </c>
      <c r="G4">
        <v>2894337881</v>
      </c>
      <c r="H4">
        <v>5333962837.1800003</v>
      </c>
      <c r="I4">
        <v>1775</v>
      </c>
      <c r="J4">
        <v>0.81239061999999995</v>
      </c>
      <c r="K4">
        <v>69981</v>
      </c>
      <c r="L4">
        <v>315662617599</v>
      </c>
      <c r="M4">
        <v>56725</v>
      </c>
      <c r="N4">
        <v>0</v>
      </c>
      <c r="O4">
        <v>2.74E-6</v>
      </c>
      <c r="P4">
        <v>21388210</v>
      </c>
      <c r="Q4">
        <v>142</v>
      </c>
    </row>
    <row r="5" spans="1:17" x14ac:dyDescent="0.25">
      <c r="A5" s="1">
        <v>43605</v>
      </c>
      <c r="B5">
        <v>1995732555.4000001</v>
      </c>
      <c r="C5">
        <v>997005644.18299997</v>
      </c>
      <c r="D5">
        <v>66650</v>
      </c>
      <c r="E5">
        <v>7497724550.4499998</v>
      </c>
      <c r="F5">
        <v>421.38</v>
      </c>
      <c r="G5">
        <v>2932575975</v>
      </c>
      <c r="H5">
        <v>5320495848.4799995</v>
      </c>
      <c r="I5">
        <v>1712.5</v>
      </c>
      <c r="J5">
        <v>0.83466446999999999</v>
      </c>
      <c r="K5">
        <v>38889</v>
      </c>
      <c r="L5">
        <v>318541685972</v>
      </c>
      <c r="M5">
        <v>29651</v>
      </c>
      <c r="N5">
        <v>0</v>
      </c>
      <c r="O5">
        <v>2.74E-6</v>
      </c>
      <c r="P5">
        <v>21532681</v>
      </c>
      <c r="Q5">
        <v>137</v>
      </c>
    </row>
    <row r="6" spans="1:17" x14ac:dyDescent="0.25">
      <c r="A6" s="1">
        <v>43604</v>
      </c>
      <c r="B6">
        <v>854834463.48899996</v>
      </c>
      <c r="C6">
        <v>507662185.43599999</v>
      </c>
      <c r="D6">
        <v>88891</v>
      </c>
      <c r="E6">
        <v>6357130498.7799997</v>
      </c>
      <c r="F6">
        <v>357.31</v>
      </c>
      <c r="G6">
        <v>3347689966</v>
      </c>
      <c r="H6">
        <v>5300446802.29</v>
      </c>
      <c r="I6">
        <v>1862.5</v>
      </c>
      <c r="J6">
        <v>0.80186424999999995</v>
      </c>
      <c r="K6">
        <v>37534</v>
      </c>
      <c r="L6">
        <v>318928344100</v>
      </c>
      <c r="M6">
        <v>28782</v>
      </c>
      <c r="N6">
        <v>0</v>
      </c>
      <c r="O6">
        <v>2.7300000000000001E-6</v>
      </c>
      <c r="P6">
        <v>27043679</v>
      </c>
      <c r="Q6">
        <v>149</v>
      </c>
    </row>
    <row r="7" spans="1:17" x14ac:dyDescent="0.25">
      <c r="A7" s="1">
        <v>43603</v>
      </c>
      <c r="B7">
        <v>1567705038.8</v>
      </c>
      <c r="C7">
        <v>846702697.63</v>
      </c>
      <c r="D7">
        <v>52438</v>
      </c>
      <c r="E7">
        <v>6483382762.3900003</v>
      </c>
      <c r="F7">
        <v>364.45</v>
      </c>
      <c r="G7">
        <v>2276729590</v>
      </c>
      <c r="H7">
        <v>5283368494.7600002</v>
      </c>
      <c r="I7">
        <v>1875</v>
      </c>
      <c r="J7">
        <v>0.72070959000000001</v>
      </c>
      <c r="K7">
        <v>36934</v>
      </c>
      <c r="L7">
        <v>303660235650</v>
      </c>
      <c r="M7">
        <v>27976</v>
      </c>
      <c r="N7">
        <v>0</v>
      </c>
      <c r="O7">
        <v>2.74E-6</v>
      </c>
      <c r="P7">
        <v>18357841</v>
      </c>
      <c r="Q7">
        <v>150</v>
      </c>
    </row>
    <row r="8" spans="1:17" x14ac:dyDescent="0.25">
      <c r="A8" s="1">
        <v>43602</v>
      </c>
      <c r="B8">
        <v>7191005978.7299995</v>
      </c>
      <c r="C8">
        <v>1393536281.04</v>
      </c>
      <c r="D8">
        <v>57103</v>
      </c>
      <c r="E8">
        <v>7091648158.46</v>
      </c>
      <c r="F8">
        <v>398.68</v>
      </c>
      <c r="G8">
        <v>3639603283</v>
      </c>
      <c r="H8">
        <v>5278535283.5900002</v>
      </c>
      <c r="I8">
        <v>1812.4999849999999</v>
      </c>
      <c r="J8">
        <v>1.1154794699999999</v>
      </c>
      <c r="K8">
        <v>48242</v>
      </c>
      <c r="L8">
        <v>296380660776</v>
      </c>
      <c r="M8">
        <v>32796</v>
      </c>
      <c r="N8">
        <v>0</v>
      </c>
      <c r="O8">
        <v>2.74E-6</v>
      </c>
      <c r="P8">
        <v>29224982</v>
      </c>
      <c r="Q8">
        <v>145</v>
      </c>
    </row>
    <row r="9" spans="1:17" x14ac:dyDescent="0.25">
      <c r="A9" s="1">
        <v>43601</v>
      </c>
      <c r="B9">
        <v>1110542968.8099999</v>
      </c>
      <c r="C9">
        <v>564083363.92799997</v>
      </c>
      <c r="D9">
        <v>70659</v>
      </c>
      <c r="E9">
        <v>7157843186.4200001</v>
      </c>
      <c r="F9">
        <v>402.44</v>
      </c>
      <c r="G9">
        <v>4522945333</v>
      </c>
      <c r="H9">
        <v>5230142935.5200005</v>
      </c>
      <c r="I9">
        <v>1850</v>
      </c>
      <c r="J9">
        <v>1.3139889499999999</v>
      </c>
      <c r="K9">
        <v>50389</v>
      </c>
      <c r="L9">
        <v>303349098140</v>
      </c>
      <c r="M9">
        <v>38799</v>
      </c>
      <c r="N9">
        <v>0</v>
      </c>
      <c r="O9">
        <v>2.74E-6</v>
      </c>
      <c r="P9">
        <v>35178181</v>
      </c>
      <c r="Q9">
        <v>148</v>
      </c>
    </row>
    <row r="10" spans="1:17" x14ac:dyDescent="0.25">
      <c r="A10" s="1">
        <v>43600</v>
      </c>
      <c r="B10">
        <v>568512150.46700001</v>
      </c>
      <c r="C10">
        <v>381042315.39399999</v>
      </c>
      <c r="D10">
        <v>60768</v>
      </c>
      <c r="E10">
        <v>6920101954.3800001</v>
      </c>
      <c r="F10">
        <v>389.12</v>
      </c>
      <c r="G10">
        <v>3374131496</v>
      </c>
      <c r="H10">
        <v>5219363354.3800001</v>
      </c>
      <c r="I10">
        <v>1825</v>
      </c>
      <c r="J10">
        <v>1.1510484700000001</v>
      </c>
      <c r="K10">
        <v>64548</v>
      </c>
      <c r="L10">
        <v>301717503382</v>
      </c>
      <c r="M10">
        <v>36048</v>
      </c>
      <c r="N10">
        <v>0</v>
      </c>
      <c r="O10">
        <v>2.74E-6</v>
      </c>
      <c r="P10">
        <v>22477259</v>
      </c>
      <c r="Q10">
        <v>146</v>
      </c>
    </row>
    <row r="11" spans="1:17" x14ac:dyDescent="0.25">
      <c r="A11" s="1">
        <v>43599</v>
      </c>
      <c r="B11">
        <v>428300512.898</v>
      </c>
      <c r="C11">
        <v>330644381.89399999</v>
      </c>
      <c r="D11">
        <v>78446</v>
      </c>
      <c r="E11">
        <v>6852728678.8999996</v>
      </c>
      <c r="F11">
        <v>385.37</v>
      </c>
      <c r="G11">
        <v>3490443261</v>
      </c>
      <c r="H11">
        <v>5167975759.5600004</v>
      </c>
      <c r="I11">
        <v>1675</v>
      </c>
      <c r="J11">
        <v>1.1738873700000001</v>
      </c>
      <c r="K11">
        <v>81416</v>
      </c>
      <c r="L11">
        <v>309419402756</v>
      </c>
      <c r="M11">
        <v>386197</v>
      </c>
      <c r="N11">
        <v>0</v>
      </c>
      <c r="O11">
        <v>2.74E-6</v>
      </c>
      <c r="P11">
        <v>38519852</v>
      </c>
      <c r="Q11">
        <v>134</v>
      </c>
    </row>
    <row r="12" spans="1:17" x14ac:dyDescent="0.25">
      <c r="A12" s="1">
        <v>43598</v>
      </c>
      <c r="B12">
        <v>538572536.65400004</v>
      </c>
      <c r="C12">
        <v>420903480.42400002</v>
      </c>
      <c r="D12">
        <v>70878</v>
      </c>
      <c r="E12">
        <v>6294818850.6499996</v>
      </c>
      <c r="F12">
        <v>354.03</v>
      </c>
      <c r="G12">
        <v>3775372869</v>
      </c>
      <c r="H12">
        <v>5133877954.3100004</v>
      </c>
      <c r="I12">
        <v>1737.5</v>
      </c>
      <c r="J12">
        <v>1.0328483399999999</v>
      </c>
      <c r="K12">
        <v>43918</v>
      </c>
      <c r="L12">
        <v>320695443710</v>
      </c>
      <c r="M12">
        <v>37163</v>
      </c>
      <c r="N12">
        <v>0</v>
      </c>
      <c r="O12">
        <v>2.74E-6</v>
      </c>
      <c r="P12">
        <v>24610106</v>
      </c>
      <c r="Q12">
        <v>139</v>
      </c>
    </row>
    <row r="13" spans="1:17" x14ac:dyDescent="0.25">
      <c r="A13" s="1">
        <v>43597</v>
      </c>
      <c r="B13">
        <v>319554929.79400003</v>
      </c>
      <c r="C13">
        <v>196228536.884</v>
      </c>
      <c r="D13">
        <v>67396</v>
      </c>
      <c r="E13">
        <v>6334070008.46</v>
      </c>
      <c r="F13">
        <v>356.27</v>
      </c>
      <c r="G13">
        <v>4136205097</v>
      </c>
      <c r="H13">
        <v>5107682891.7799997</v>
      </c>
      <c r="I13">
        <v>1737.5</v>
      </c>
      <c r="J13">
        <v>1.02325573</v>
      </c>
      <c r="K13">
        <v>43876</v>
      </c>
      <c r="L13">
        <v>320261160576</v>
      </c>
      <c r="M13">
        <v>44393</v>
      </c>
      <c r="N13">
        <v>0</v>
      </c>
      <c r="O13">
        <v>2.74E-6</v>
      </c>
      <c r="P13">
        <v>23407009</v>
      </c>
      <c r="Q13">
        <v>139</v>
      </c>
    </row>
    <row r="14" spans="1:17" x14ac:dyDescent="0.25">
      <c r="A14" s="1">
        <v>43596</v>
      </c>
      <c r="B14">
        <v>186253248.491</v>
      </c>
      <c r="C14">
        <v>152746221.09200001</v>
      </c>
      <c r="D14">
        <v>76517</v>
      </c>
      <c r="E14">
        <v>5116022072.4899998</v>
      </c>
      <c r="F14">
        <v>287.79000000000002</v>
      </c>
      <c r="G14">
        <v>3587276404</v>
      </c>
      <c r="H14">
        <v>5097275746.7600002</v>
      </c>
      <c r="I14">
        <v>1975</v>
      </c>
      <c r="J14">
        <v>1.14603543</v>
      </c>
      <c r="K14">
        <v>43082</v>
      </c>
      <c r="L14">
        <v>297912177144</v>
      </c>
      <c r="M14">
        <v>74173</v>
      </c>
      <c r="N14">
        <v>0</v>
      </c>
      <c r="O14">
        <v>2.74E-6</v>
      </c>
      <c r="P14">
        <v>27499925</v>
      </c>
      <c r="Q14">
        <v>158</v>
      </c>
    </row>
    <row r="15" spans="1:17" x14ac:dyDescent="0.25">
      <c r="A15" s="1">
        <v>43595</v>
      </c>
      <c r="B15">
        <v>259605979.22999999</v>
      </c>
      <c r="C15">
        <v>236154730.59099999</v>
      </c>
      <c r="D15">
        <v>145803</v>
      </c>
      <c r="E15">
        <v>5051694198.1300001</v>
      </c>
      <c r="F15">
        <v>284.2</v>
      </c>
      <c r="G15">
        <v>1807016333</v>
      </c>
      <c r="H15">
        <v>5071674456.0600004</v>
      </c>
      <c r="I15">
        <v>1700</v>
      </c>
      <c r="J15">
        <v>1.0028061699999999</v>
      </c>
      <c r="K15">
        <v>122021</v>
      </c>
      <c r="L15">
        <v>295931646024</v>
      </c>
      <c r="M15">
        <v>31615</v>
      </c>
      <c r="N15">
        <v>2.5617787999999999E-2</v>
      </c>
      <c r="O15">
        <v>1.9199999999999998E-6</v>
      </c>
      <c r="P15">
        <v>37570252</v>
      </c>
      <c r="Q15">
        <v>136</v>
      </c>
    </row>
    <row r="16" spans="1:17" x14ac:dyDescent="0.25">
      <c r="A16" s="1">
        <v>43594</v>
      </c>
      <c r="B16">
        <v>180179771.22</v>
      </c>
      <c r="C16">
        <v>159049205.051</v>
      </c>
      <c r="D16">
        <v>46776</v>
      </c>
      <c r="E16">
        <v>5091493217.7200003</v>
      </c>
      <c r="F16">
        <v>286.47000000000003</v>
      </c>
      <c r="G16">
        <v>1481835612</v>
      </c>
      <c r="H16">
        <v>5066881646.3299999</v>
      </c>
      <c r="I16">
        <v>1762.5</v>
      </c>
      <c r="J16">
        <v>0.61845775000000003</v>
      </c>
      <c r="K16">
        <v>32654</v>
      </c>
      <c r="L16">
        <v>302473069965</v>
      </c>
      <c r="M16">
        <v>27285</v>
      </c>
      <c r="N16">
        <v>0</v>
      </c>
      <c r="O16">
        <v>2.74E-6</v>
      </c>
      <c r="P16">
        <v>16922602</v>
      </c>
      <c r="Q16">
        <v>141</v>
      </c>
    </row>
    <row r="17" spans="1:17" x14ac:dyDescent="0.25">
      <c r="A17" s="1">
        <v>43593</v>
      </c>
      <c r="B17">
        <v>112566653.748</v>
      </c>
      <c r="C17">
        <v>94638647.717299998</v>
      </c>
      <c r="D17">
        <v>46807</v>
      </c>
      <c r="E17">
        <v>5092451579.6499996</v>
      </c>
      <c r="F17">
        <v>286.55</v>
      </c>
      <c r="G17">
        <v>1423796801</v>
      </c>
      <c r="H17">
        <v>5055384280.8299999</v>
      </c>
      <c r="I17">
        <v>1675</v>
      </c>
      <c r="J17">
        <v>0.75877886000000005</v>
      </c>
      <c r="K17">
        <v>40399</v>
      </c>
      <c r="L17">
        <v>315782844482</v>
      </c>
      <c r="M17">
        <v>30484</v>
      </c>
      <c r="N17">
        <v>0</v>
      </c>
      <c r="O17">
        <v>2.74E-6</v>
      </c>
      <c r="P17">
        <v>18684470</v>
      </c>
      <c r="Q17">
        <v>134</v>
      </c>
    </row>
    <row r="18" spans="1:17" x14ac:dyDescent="0.25">
      <c r="A18" s="1">
        <v>43592</v>
      </c>
      <c r="B18">
        <v>600464796.18499994</v>
      </c>
      <c r="C18">
        <v>285586034.38999999</v>
      </c>
      <c r="D18">
        <v>58996</v>
      </c>
      <c r="E18">
        <v>5112166172.6999998</v>
      </c>
      <c r="F18">
        <v>287.68</v>
      </c>
      <c r="G18">
        <v>1773389358</v>
      </c>
      <c r="H18">
        <v>5058828819.2799997</v>
      </c>
      <c r="I18">
        <v>1775</v>
      </c>
      <c r="J18">
        <v>0.69627918</v>
      </c>
      <c r="K18">
        <v>73739</v>
      </c>
      <c r="L18">
        <v>319523089922</v>
      </c>
      <c r="M18">
        <v>66027</v>
      </c>
      <c r="N18">
        <v>0</v>
      </c>
      <c r="O18">
        <v>2.74E-6</v>
      </c>
      <c r="P18">
        <v>23449658</v>
      </c>
      <c r="Q18">
        <v>142</v>
      </c>
    </row>
    <row r="19" spans="1:17" x14ac:dyDescent="0.25">
      <c r="A19" s="1">
        <v>43591</v>
      </c>
      <c r="B19">
        <v>806247043.00399995</v>
      </c>
      <c r="C19">
        <v>273263320.273</v>
      </c>
      <c r="D19">
        <v>47547</v>
      </c>
      <c r="E19">
        <v>5223229128.6199999</v>
      </c>
      <c r="F19">
        <v>293.95999999999998</v>
      </c>
      <c r="G19">
        <v>1766785841</v>
      </c>
      <c r="H19">
        <v>5065345348.0900002</v>
      </c>
      <c r="I19">
        <v>1825</v>
      </c>
      <c r="J19">
        <v>0.66226326999999996</v>
      </c>
      <c r="K19">
        <v>35144</v>
      </c>
      <c r="L19">
        <v>324214015786</v>
      </c>
      <c r="M19">
        <v>29640</v>
      </c>
      <c r="N19">
        <v>0</v>
      </c>
      <c r="O19">
        <v>2.74E-6</v>
      </c>
      <c r="P19">
        <v>17236659</v>
      </c>
      <c r="Q19">
        <v>146</v>
      </c>
    </row>
    <row r="20" spans="1:17" x14ac:dyDescent="0.25">
      <c r="A20" s="1">
        <v>43590</v>
      </c>
      <c r="B20">
        <v>563937791.36099994</v>
      </c>
      <c r="C20">
        <v>291912931.84200001</v>
      </c>
      <c r="D20">
        <v>45996</v>
      </c>
      <c r="E20">
        <v>5176195910.1700001</v>
      </c>
      <c r="F20">
        <v>291.35000000000002</v>
      </c>
      <c r="G20">
        <v>1995769808</v>
      </c>
      <c r="H20">
        <v>5058552315.4200001</v>
      </c>
      <c r="I20">
        <v>1950</v>
      </c>
      <c r="J20">
        <v>0.52703880999999997</v>
      </c>
      <c r="K20">
        <v>31684</v>
      </c>
      <c r="L20">
        <v>326185341751</v>
      </c>
      <c r="M20">
        <v>26791</v>
      </c>
      <c r="N20">
        <v>0</v>
      </c>
      <c r="O20">
        <v>2.74E-6</v>
      </c>
      <c r="P20">
        <v>16467231</v>
      </c>
      <c r="Q20">
        <v>156</v>
      </c>
    </row>
    <row r="21" spans="1:17" x14ac:dyDescent="0.25">
      <c r="A21" s="1">
        <v>43589</v>
      </c>
      <c r="B21">
        <v>809083863.94799995</v>
      </c>
      <c r="C21">
        <v>394615678.04900002</v>
      </c>
      <c r="D21">
        <v>52552</v>
      </c>
      <c r="E21">
        <v>5202868764.5100002</v>
      </c>
      <c r="F21">
        <v>292.88</v>
      </c>
      <c r="G21">
        <v>2665107945</v>
      </c>
      <c r="H21">
        <v>5056857806.8900003</v>
      </c>
      <c r="I21">
        <v>1787.5</v>
      </c>
      <c r="J21">
        <v>0.56702591999999996</v>
      </c>
      <c r="K21">
        <v>31997</v>
      </c>
      <c r="L21">
        <v>327991165704</v>
      </c>
      <c r="M21">
        <v>28202</v>
      </c>
      <c r="N21">
        <v>0</v>
      </c>
      <c r="O21">
        <v>2.74E-6</v>
      </c>
      <c r="P21">
        <v>17981821</v>
      </c>
      <c r="Q21">
        <v>143</v>
      </c>
    </row>
    <row r="22" spans="1:17" x14ac:dyDescent="0.25">
      <c r="A22" s="1">
        <v>43588</v>
      </c>
      <c r="B22">
        <v>879277860.00100005</v>
      </c>
      <c r="C22">
        <v>397830203.07499999</v>
      </c>
      <c r="D22">
        <v>56904</v>
      </c>
      <c r="E22">
        <v>4798643753.5299997</v>
      </c>
      <c r="F22">
        <v>270.14999999999998</v>
      </c>
      <c r="G22">
        <v>2046668051</v>
      </c>
      <c r="H22">
        <v>5053729000.5799999</v>
      </c>
      <c r="I22">
        <v>1862.5</v>
      </c>
      <c r="J22">
        <v>0.71425543999999996</v>
      </c>
      <c r="K22">
        <v>34939</v>
      </c>
      <c r="L22">
        <v>313888898098</v>
      </c>
      <c r="M22">
        <v>32187</v>
      </c>
      <c r="N22">
        <v>0</v>
      </c>
      <c r="O22">
        <v>2.74E-6</v>
      </c>
      <c r="P22">
        <v>19518082</v>
      </c>
      <c r="Q22">
        <v>149</v>
      </c>
    </row>
    <row r="23" spans="1:17" x14ac:dyDescent="0.25">
      <c r="A23" s="1">
        <v>43587</v>
      </c>
      <c r="B23">
        <v>895959488.08200002</v>
      </c>
      <c r="C23">
        <v>326465063.21600002</v>
      </c>
      <c r="D23">
        <v>44305</v>
      </c>
      <c r="E23">
        <v>4830450985.1300001</v>
      </c>
      <c r="F23">
        <v>271.97000000000003</v>
      </c>
      <c r="G23">
        <v>1513870927</v>
      </c>
      <c r="H23">
        <v>5025996315.6199999</v>
      </c>
      <c r="I23">
        <v>1725</v>
      </c>
      <c r="J23">
        <v>0.53054904999999997</v>
      </c>
      <c r="K23">
        <v>46943</v>
      </c>
      <c r="L23">
        <v>315691925528</v>
      </c>
      <c r="M23">
        <v>28617</v>
      </c>
      <c r="N23">
        <v>0</v>
      </c>
      <c r="O23">
        <v>2.74E-6</v>
      </c>
      <c r="P23">
        <v>19395394</v>
      </c>
      <c r="Q23">
        <v>138</v>
      </c>
    </row>
    <row r="24" spans="1:17" x14ac:dyDescent="0.25">
      <c r="A24" s="1">
        <v>43586</v>
      </c>
      <c r="B24">
        <v>764350607.80700004</v>
      </c>
      <c r="C24">
        <v>321323576.70099998</v>
      </c>
      <c r="D24">
        <v>48841</v>
      </c>
      <c r="E24">
        <v>4759186329.1499996</v>
      </c>
      <c r="F24">
        <v>267.99</v>
      </c>
      <c r="G24">
        <v>1693067790</v>
      </c>
      <c r="H24">
        <v>5026174030.8599997</v>
      </c>
      <c r="I24">
        <v>1650</v>
      </c>
      <c r="J24">
        <v>0.54997183000000005</v>
      </c>
      <c r="K24">
        <v>43929</v>
      </c>
      <c r="L24">
        <v>319409268249</v>
      </c>
      <c r="M24">
        <v>31704</v>
      </c>
      <c r="N24">
        <v>2.9773689000000001E-3</v>
      </c>
      <c r="O24">
        <v>2.74E-6</v>
      </c>
      <c r="P24">
        <v>18920504</v>
      </c>
      <c r="Q24">
        <v>132</v>
      </c>
    </row>
    <row r="25" spans="1:17" x14ac:dyDescent="0.25">
      <c r="A25" s="1">
        <v>43585</v>
      </c>
      <c r="B25" s="2">
        <v>750949579.81099999</v>
      </c>
      <c r="C25" s="2">
        <v>318180262.38099998</v>
      </c>
      <c r="D25" s="2">
        <v>46645</v>
      </c>
      <c r="E25" s="2">
        <v>4218605231.9200001</v>
      </c>
      <c r="F25" s="2">
        <v>237.57</v>
      </c>
      <c r="G25" s="2">
        <v>1761938029</v>
      </c>
      <c r="H25" s="2">
        <v>5022581333.3900003</v>
      </c>
      <c r="I25" s="2">
        <v>1900</v>
      </c>
      <c r="J25" s="2">
        <v>0.62478763999999998</v>
      </c>
      <c r="K25" s="2">
        <v>67750</v>
      </c>
      <c r="L25" s="2">
        <v>290082808409</v>
      </c>
      <c r="M25" s="2">
        <v>64581</v>
      </c>
      <c r="N25" s="2">
        <v>0</v>
      </c>
      <c r="O25" s="2">
        <v>2.74E-6</v>
      </c>
      <c r="P25" s="2">
        <v>18380906</v>
      </c>
      <c r="Q25" s="2">
        <v>152</v>
      </c>
    </row>
    <row r="26" spans="1:17" x14ac:dyDescent="0.25">
      <c r="A26" s="1">
        <v>43584</v>
      </c>
      <c r="B26" s="2">
        <v>809049413.43900001</v>
      </c>
      <c r="C26" s="2">
        <v>378955505.171</v>
      </c>
      <c r="D26" s="2">
        <v>45923</v>
      </c>
      <c r="E26" s="2">
        <v>4537475414.3999996</v>
      </c>
      <c r="F26" s="2">
        <v>255.55</v>
      </c>
      <c r="G26" s="2">
        <v>1326738644</v>
      </c>
      <c r="H26" s="2">
        <v>5014843371.4700003</v>
      </c>
      <c r="I26" s="2">
        <v>1825</v>
      </c>
      <c r="J26" s="2">
        <v>2.9561473700000001</v>
      </c>
      <c r="K26" s="2">
        <v>36775</v>
      </c>
      <c r="L26" s="2">
        <v>297459486297</v>
      </c>
      <c r="M26" s="2">
        <v>26955</v>
      </c>
      <c r="N26" s="2">
        <v>0</v>
      </c>
      <c r="O26" s="2">
        <v>2.74E-6</v>
      </c>
      <c r="P26" s="2">
        <v>17507424</v>
      </c>
      <c r="Q26" s="2">
        <v>146</v>
      </c>
    </row>
    <row r="27" spans="1:17" x14ac:dyDescent="0.25">
      <c r="A27" s="1">
        <v>43583</v>
      </c>
      <c r="B27" s="2">
        <v>530179071.546</v>
      </c>
      <c r="C27" s="2">
        <v>256805527.36300001</v>
      </c>
      <c r="D27" s="2">
        <v>38167</v>
      </c>
      <c r="E27" s="2">
        <v>4689112910.5799999</v>
      </c>
      <c r="F27" s="2">
        <v>264.12</v>
      </c>
      <c r="G27" s="2">
        <v>1007833364</v>
      </c>
      <c r="H27" s="2">
        <v>5020718358.6300001</v>
      </c>
      <c r="I27" s="2">
        <v>1787.5</v>
      </c>
      <c r="J27" s="2">
        <v>0.41903270999999997</v>
      </c>
      <c r="K27" s="2">
        <v>29130</v>
      </c>
      <c r="L27" s="2">
        <v>334933046723</v>
      </c>
      <c r="M27" s="2">
        <v>27582</v>
      </c>
      <c r="N27" s="2">
        <v>0</v>
      </c>
      <c r="O27" s="2">
        <v>2.74E-6</v>
      </c>
      <c r="P27" s="2">
        <v>13686184</v>
      </c>
      <c r="Q27" s="2">
        <v>143</v>
      </c>
    </row>
    <row r="28" spans="1:17" x14ac:dyDescent="0.25">
      <c r="A28" s="1">
        <v>43582</v>
      </c>
      <c r="B28" s="2">
        <v>432199263.88</v>
      </c>
      <c r="C28" s="2">
        <v>220802035.33899999</v>
      </c>
      <c r="D28" s="2">
        <v>37124</v>
      </c>
      <c r="E28" s="2">
        <v>4688118634</v>
      </c>
      <c r="F28" s="2">
        <v>264.08999999999997</v>
      </c>
      <c r="G28" s="2">
        <v>910703481</v>
      </c>
      <c r="H28" s="2">
        <v>5024973610.7399998</v>
      </c>
      <c r="I28" s="2">
        <v>1662.5</v>
      </c>
      <c r="J28" s="2">
        <v>0.54145361000000003</v>
      </c>
      <c r="K28" s="2">
        <v>32091</v>
      </c>
      <c r="L28" s="2">
        <v>330940058690</v>
      </c>
      <c r="M28" s="2">
        <v>27297</v>
      </c>
      <c r="N28" s="2">
        <v>0</v>
      </c>
      <c r="O28" s="2">
        <v>2.74E-6</v>
      </c>
      <c r="P28" s="2">
        <v>13750578</v>
      </c>
      <c r="Q28" s="2">
        <v>133</v>
      </c>
    </row>
    <row r="29" spans="1:17" x14ac:dyDescent="0.25">
      <c r="A29" s="1">
        <v>43581</v>
      </c>
      <c r="B29" s="2">
        <v>836099406.99199998</v>
      </c>
      <c r="C29" s="2">
        <v>401421532.05900002</v>
      </c>
      <c r="D29" s="2">
        <v>51046</v>
      </c>
      <c r="E29" s="2">
        <v>4742676111.1400003</v>
      </c>
      <c r="F29" s="2">
        <v>267.19</v>
      </c>
      <c r="G29" s="2">
        <v>1345116972</v>
      </c>
      <c r="H29" s="2">
        <v>5024027837</v>
      </c>
      <c r="I29" s="2">
        <v>1937.5</v>
      </c>
      <c r="J29" s="2">
        <v>0.59930830000000002</v>
      </c>
      <c r="K29" s="2">
        <v>34615</v>
      </c>
      <c r="L29" s="2">
        <v>315986352632</v>
      </c>
      <c r="M29" s="2">
        <v>28787</v>
      </c>
      <c r="N29" s="2">
        <v>0</v>
      </c>
      <c r="O29" s="2">
        <v>2.74E-6</v>
      </c>
      <c r="P29" s="2">
        <v>17910509</v>
      </c>
      <c r="Q29" s="2">
        <v>155</v>
      </c>
    </row>
    <row r="30" spans="1:17" x14ac:dyDescent="0.25">
      <c r="A30" s="1">
        <v>43580</v>
      </c>
      <c r="B30" s="2">
        <v>638359835.58299994</v>
      </c>
      <c r="C30" s="2">
        <v>254765369.08899999</v>
      </c>
      <c r="D30" s="2">
        <v>48223</v>
      </c>
      <c r="E30" s="2">
        <v>4955543877.5100002</v>
      </c>
      <c r="F30" s="2">
        <v>279.20999999999998</v>
      </c>
      <c r="G30" s="2">
        <v>1229338671</v>
      </c>
      <c r="H30" s="2">
        <v>5030254179.8000002</v>
      </c>
      <c r="I30" s="2">
        <v>1700</v>
      </c>
      <c r="J30" s="2">
        <v>0.57978426000000005</v>
      </c>
      <c r="K30" s="2">
        <v>40035</v>
      </c>
      <c r="L30" s="2">
        <v>337546093019</v>
      </c>
      <c r="M30" s="2">
        <v>30631</v>
      </c>
      <c r="N30" s="2">
        <v>0</v>
      </c>
      <c r="O30" s="2">
        <v>2.74E-6</v>
      </c>
      <c r="P30" s="2">
        <v>19215466</v>
      </c>
      <c r="Q30" s="2">
        <v>136</v>
      </c>
    </row>
    <row r="31" spans="1:17" x14ac:dyDescent="0.25">
      <c r="A31" s="1">
        <v>43579</v>
      </c>
      <c r="B31" s="2">
        <v>761421377.24899995</v>
      </c>
      <c r="C31" s="2">
        <v>454400589.34200001</v>
      </c>
      <c r="D31" s="2">
        <v>46839</v>
      </c>
      <c r="E31" s="2">
        <v>5163495578.3500004</v>
      </c>
      <c r="F31" s="2">
        <v>290.95999999999998</v>
      </c>
      <c r="G31" s="2">
        <v>1554756186</v>
      </c>
      <c r="H31" s="2">
        <v>5043845304.54</v>
      </c>
      <c r="I31" s="2">
        <v>1950</v>
      </c>
      <c r="J31" s="2">
        <v>0.85210701</v>
      </c>
      <c r="K31" s="2">
        <v>44706</v>
      </c>
      <c r="L31" s="2">
        <v>310289940877</v>
      </c>
      <c r="M31" s="2">
        <v>31488</v>
      </c>
      <c r="N31" s="2">
        <v>0</v>
      </c>
      <c r="O31" s="2">
        <v>2.74E-6</v>
      </c>
      <c r="P31" s="2">
        <v>21249540</v>
      </c>
      <c r="Q31" s="2">
        <v>156</v>
      </c>
    </row>
    <row r="32" spans="1:17" x14ac:dyDescent="0.25">
      <c r="A32" s="1">
        <v>43578</v>
      </c>
      <c r="B32" s="2">
        <v>852820652.94700003</v>
      </c>
      <c r="C32" s="2">
        <v>466220424.324</v>
      </c>
      <c r="D32" s="2">
        <v>40565</v>
      </c>
      <c r="E32" s="2">
        <v>5195528981.3999996</v>
      </c>
      <c r="F32" s="2">
        <v>292.79000000000002</v>
      </c>
      <c r="G32" s="2">
        <v>1434551201</v>
      </c>
      <c r="H32" s="2">
        <v>5045166319.9799995</v>
      </c>
      <c r="I32" s="2">
        <v>1600</v>
      </c>
      <c r="J32" s="2">
        <v>0.72568843000000005</v>
      </c>
      <c r="K32" s="2">
        <v>65438</v>
      </c>
      <c r="L32" s="2">
        <v>350942588433</v>
      </c>
      <c r="M32" s="2">
        <v>57391</v>
      </c>
      <c r="N32" s="2">
        <v>3.2528968999999998E-3</v>
      </c>
      <c r="O32" s="2">
        <v>2.74E-6</v>
      </c>
      <c r="P32" s="2">
        <v>17380942</v>
      </c>
      <c r="Q32" s="2">
        <v>128</v>
      </c>
    </row>
    <row r="33" spans="1:17" x14ac:dyDescent="0.25">
      <c r="A33" s="1">
        <v>43577</v>
      </c>
      <c r="B33" s="2">
        <v>994482610.33800006</v>
      </c>
      <c r="C33" s="2">
        <v>405823997.88499999</v>
      </c>
      <c r="D33" s="2">
        <v>41710</v>
      </c>
      <c r="E33" s="2">
        <v>5151556358.8299999</v>
      </c>
      <c r="F33" s="2">
        <v>290.33999999999997</v>
      </c>
      <c r="G33" s="2">
        <v>1184945128</v>
      </c>
      <c r="H33" s="2">
        <v>5057548200.8100004</v>
      </c>
      <c r="I33" s="2">
        <v>1725</v>
      </c>
      <c r="J33" s="2">
        <v>0.52975282000000001</v>
      </c>
      <c r="K33" s="2">
        <v>36021</v>
      </c>
      <c r="L33" s="2">
        <v>349683898124</v>
      </c>
      <c r="M33" s="2">
        <v>27302</v>
      </c>
      <c r="N33" s="2">
        <v>0</v>
      </c>
      <c r="O33" s="2">
        <v>2.74E-6</v>
      </c>
      <c r="P33" s="2">
        <v>15336095</v>
      </c>
      <c r="Q33" s="2">
        <v>138</v>
      </c>
    </row>
    <row r="34" spans="1:17" x14ac:dyDescent="0.25">
      <c r="A34" s="1">
        <v>43576</v>
      </c>
      <c r="B34" s="2">
        <v>1302496570.72</v>
      </c>
      <c r="C34" s="2">
        <v>443809325.78500003</v>
      </c>
      <c r="D34" s="2">
        <v>38335</v>
      </c>
      <c r="E34" s="2">
        <v>5336776175.9399996</v>
      </c>
      <c r="F34" s="2">
        <v>300.81</v>
      </c>
      <c r="G34" s="2">
        <v>1279142852</v>
      </c>
      <c r="H34" s="2">
        <v>5063321132.1199999</v>
      </c>
      <c r="I34" s="2">
        <v>1937.5</v>
      </c>
      <c r="J34" s="2">
        <v>0.58880511000000002</v>
      </c>
      <c r="K34" s="2">
        <v>32613</v>
      </c>
      <c r="L34" s="2">
        <v>356681890664</v>
      </c>
      <c r="M34" s="2">
        <v>26114</v>
      </c>
      <c r="N34" s="2">
        <v>0</v>
      </c>
      <c r="O34" s="2">
        <v>2.74E-6</v>
      </c>
      <c r="P34" s="2">
        <v>13783635</v>
      </c>
      <c r="Q34" s="2">
        <v>155</v>
      </c>
    </row>
    <row r="35" spans="1:17" x14ac:dyDescent="0.25">
      <c r="A35" s="1">
        <v>43575</v>
      </c>
      <c r="B35" s="2">
        <v>914734468.42700005</v>
      </c>
      <c r="C35" s="2">
        <v>463183570.361</v>
      </c>
      <c r="D35" s="2">
        <v>38866</v>
      </c>
      <c r="E35" s="2">
        <v>5443574090.6499996</v>
      </c>
      <c r="F35" s="2">
        <v>306.86</v>
      </c>
      <c r="G35" s="2">
        <v>1036399596</v>
      </c>
      <c r="H35" s="2">
        <v>5065561499.6400003</v>
      </c>
      <c r="I35" s="2">
        <v>1700</v>
      </c>
      <c r="J35" s="2">
        <v>0.63797360000000003</v>
      </c>
      <c r="K35" s="2">
        <v>39079</v>
      </c>
      <c r="L35" s="2">
        <v>351918410529</v>
      </c>
      <c r="M35" s="2">
        <v>30149</v>
      </c>
      <c r="N35" s="2">
        <v>3.4092146E-3</v>
      </c>
      <c r="O35" s="2">
        <v>2.74E-6</v>
      </c>
      <c r="P35" s="2">
        <v>15651417</v>
      </c>
      <c r="Q35" s="2">
        <v>136</v>
      </c>
    </row>
    <row r="36" spans="1:17" x14ac:dyDescent="0.25">
      <c r="A36" s="1">
        <v>43574</v>
      </c>
      <c r="B36" s="2">
        <v>1335217027.9200001</v>
      </c>
      <c r="C36" s="2">
        <v>504216482.95599997</v>
      </c>
      <c r="D36" s="2">
        <v>27285</v>
      </c>
      <c r="E36" s="2">
        <v>5444201816.1000004</v>
      </c>
      <c r="F36" s="2">
        <v>306.93</v>
      </c>
      <c r="G36" s="2">
        <v>1395000142</v>
      </c>
      <c r="H36" s="2">
        <v>5068513462.4399996</v>
      </c>
      <c r="I36" s="2">
        <v>1837.5</v>
      </c>
      <c r="J36" s="2">
        <v>0.49947393000000001</v>
      </c>
      <c r="K36" s="2">
        <v>35167</v>
      </c>
      <c r="L36" s="2">
        <v>344001291098</v>
      </c>
      <c r="M36" s="2">
        <v>26432</v>
      </c>
      <c r="N36" s="2">
        <v>3.0693000000000002E-2</v>
      </c>
      <c r="O36" s="2">
        <v>3.7400000000000002E-6</v>
      </c>
      <c r="P36" s="2">
        <v>11207221</v>
      </c>
      <c r="Q36" s="2">
        <v>147</v>
      </c>
    </row>
    <row r="37" spans="1:17" x14ac:dyDescent="0.25">
      <c r="A37" s="1">
        <v>43573</v>
      </c>
      <c r="B37" s="2">
        <v>927140444.39100003</v>
      </c>
      <c r="C37" s="2">
        <v>507749072.917</v>
      </c>
      <c r="D37" s="2">
        <v>46439</v>
      </c>
      <c r="E37" s="2">
        <v>5513476408.2600002</v>
      </c>
      <c r="F37" s="2">
        <v>310.87</v>
      </c>
      <c r="G37" s="2">
        <v>1203614370</v>
      </c>
      <c r="H37" s="2">
        <v>5078897755.7200003</v>
      </c>
      <c r="I37" s="2">
        <v>1800</v>
      </c>
      <c r="J37" s="2">
        <v>10.84350199</v>
      </c>
      <c r="K37" s="2">
        <v>54069</v>
      </c>
      <c r="L37" s="2">
        <v>351470812209</v>
      </c>
      <c r="M37" s="2">
        <v>32370</v>
      </c>
      <c r="N37" s="2">
        <v>3.4537656999999999E-3</v>
      </c>
      <c r="O37" s="2">
        <v>2.74E-6</v>
      </c>
      <c r="P37" s="2">
        <v>23427481</v>
      </c>
      <c r="Q37" s="2">
        <v>144</v>
      </c>
    </row>
    <row r="38" spans="1:17" x14ac:dyDescent="0.25">
      <c r="A38" s="1">
        <v>43572</v>
      </c>
      <c r="B38" s="2">
        <v>1088747404.26</v>
      </c>
      <c r="C38" s="2">
        <v>554115192.14100003</v>
      </c>
      <c r="D38" s="2">
        <v>41492</v>
      </c>
      <c r="E38" s="2">
        <v>5644928728.7299995</v>
      </c>
      <c r="F38" s="2">
        <v>318.31</v>
      </c>
      <c r="G38" s="2">
        <v>1373348879</v>
      </c>
      <c r="H38" s="2">
        <v>5068223844.9700003</v>
      </c>
      <c r="I38" s="2">
        <v>1750</v>
      </c>
      <c r="J38" s="2">
        <v>0.69635652999999997</v>
      </c>
      <c r="K38" s="2">
        <v>43619</v>
      </c>
      <c r="L38" s="2">
        <v>368764239677</v>
      </c>
      <c r="M38" s="2">
        <v>30263</v>
      </c>
      <c r="N38" s="2">
        <v>3.1830999999999999E-3</v>
      </c>
      <c r="O38" s="2">
        <v>2.74E-6</v>
      </c>
      <c r="P38" s="2">
        <v>17512958</v>
      </c>
      <c r="Q38" s="2">
        <v>140</v>
      </c>
    </row>
    <row r="39" spans="1:17" x14ac:dyDescent="0.25">
      <c r="A39" s="1">
        <v>43571</v>
      </c>
      <c r="B39" s="2">
        <v>1055350085.54</v>
      </c>
      <c r="C39" s="2">
        <v>477364591.71899998</v>
      </c>
      <c r="D39" s="2">
        <v>32216</v>
      </c>
      <c r="E39" s="2">
        <v>5570008758.8999996</v>
      </c>
      <c r="F39" s="2">
        <v>314.12</v>
      </c>
      <c r="G39" s="2">
        <v>1686596635</v>
      </c>
      <c r="H39" s="2">
        <v>5106065308.6700001</v>
      </c>
      <c r="I39" s="2">
        <v>1700</v>
      </c>
      <c r="J39" s="2">
        <v>0.68048739000000003</v>
      </c>
      <c r="K39" s="2">
        <v>65714</v>
      </c>
      <c r="L39" s="2">
        <v>372302146814</v>
      </c>
      <c r="M39" s="2">
        <v>59850</v>
      </c>
      <c r="N39" s="2">
        <v>0.65738091239999996</v>
      </c>
      <c r="O39" s="2">
        <v>3.7699999999999999E-6</v>
      </c>
      <c r="P39" s="2">
        <v>15921215</v>
      </c>
      <c r="Q39" s="2">
        <v>136</v>
      </c>
    </row>
    <row r="40" spans="1:17" x14ac:dyDescent="0.25">
      <c r="A40" s="1">
        <v>43570</v>
      </c>
      <c r="B40" s="2">
        <v>1015602151.8099999</v>
      </c>
      <c r="C40" s="2">
        <v>470164033.70300001</v>
      </c>
      <c r="D40" s="2">
        <v>41348</v>
      </c>
      <c r="E40" s="2">
        <v>5118801487.5900002</v>
      </c>
      <c r="F40" s="2">
        <v>288.7</v>
      </c>
      <c r="G40" s="2">
        <v>2459286061</v>
      </c>
      <c r="H40" s="2">
        <v>5109115300.71</v>
      </c>
      <c r="I40" s="2">
        <v>1887.5</v>
      </c>
      <c r="J40" s="2">
        <v>1.60306211</v>
      </c>
      <c r="K40" s="2">
        <v>44296</v>
      </c>
      <c r="L40" s="2">
        <v>361231257530</v>
      </c>
      <c r="M40" s="2">
        <v>43007</v>
      </c>
      <c r="N40" s="2">
        <v>3.2074569999999999E-3</v>
      </c>
      <c r="O40" s="2">
        <v>3.45E-6</v>
      </c>
      <c r="P40" s="2">
        <v>17375388</v>
      </c>
      <c r="Q40" s="2">
        <v>151</v>
      </c>
    </row>
    <row r="41" spans="1:17" x14ac:dyDescent="0.25">
      <c r="A41" s="1">
        <v>43569</v>
      </c>
      <c r="B41" s="2">
        <v>784613409.09200001</v>
      </c>
      <c r="C41" s="2">
        <v>483871312.69</v>
      </c>
      <c r="D41" s="2">
        <v>39926</v>
      </c>
      <c r="E41" s="2">
        <v>4953537475.2200003</v>
      </c>
      <c r="F41" s="2">
        <v>279.41000000000003</v>
      </c>
      <c r="G41" s="2">
        <v>990830744</v>
      </c>
      <c r="H41" s="2">
        <v>5089903708.0799999</v>
      </c>
      <c r="I41" s="2">
        <v>1850</v>
      </c>
      <c r="J41" s="2">
        <v>0.43548189999999998</v>
      </c>
      <c r="K41" s="2">
        <v>29851</v>
      </c>
      <c r="L41" s="2">
        <v>332743538167</v>
      </c>
      <c r="M41" s="2">
        <v>29321</v>
      </c>
      <c r="N41" s="2">
        <v>1.5255786000000001E-3</v>
      </c>
      <c r="O41" s="2">
        <v>2.74E-6</v>
      </c>
      <c r="P41" s="2">
        <v>14490849</v>
      </c>
      <c r="Q41" s="2">
        <v>148</v>
      </c>
    </row>
    <row r="42" spans="1:17" x14ac:dyDescent="0.25">
      <c r="A42" s="1">
        <v>43568</v>
      </c>
      <c r="B42" s="2">
        <v>1432585168.72</v>
      </c>
      <c r="C42" s="2">
        <v>610212390.45500004</v>
      </c>
      <c r="D42" s="2">
        <v>38282</v>
      </c>
      <c r="E42" s="2">
        <v>5011027110.5900002</v>
      </c>
      <c r="F42" s="2">
        <v>282.68</v>
      </c>
      <c r="G42" s="2">
        <v>1142074597</v>
      </c>
      <c r="H42" s="2">
        <v>5096085236.2799997</v>
      </c>
      <c r="I42" s="2">
        <v>1862.5</v>
      </c>
      <c r="J42" s="2">
        <v>0.47784095999999998</v>
      </c>
      <c r="K42" s="2">
        <v>27694</v>
      </c>
      <c r="L42" s="2">
        <v>332748938511</v>
      </c>
      <c r="M42" s="2">
        <v>21955</v>
      </c>
      <c r="N42" s="2">
        <v>0</v>
      </c>
      <c r="O42" s="2">
        <v>2.74E-6</v>
      </c>
      <c r="P42" s="2">
        <v>13261866</v>
      </c>
      <c r="Q42" s="2">
        <v>149</v>
      </c>
    </row>
    <row r="43" spans="1:17" x14ac:dyDescent="0.25">
      <c r="A43" s="1">
        <v>43567</v>
      </c>
      <c r="B43" s="2">
        <v>633275410.85300004</v>
      </c>
      <c r="C43" s="2">
        <v>410010038.139</v>
      </c>
      <c r="D43" s="2">
        <v>45602</v>
      </c>
      <c r="E43" s="2">
        <v>4832601003.3000002</v>
      </c>
      <c r="F43" s="2">
        <v>272.64</v>
      </c>
      <c r="G43" s="2">
        <v>1458454991</v>
      </c>
      <c r="H43" s="2">
        <v>5097511493.5900002</v>
      </c>
      <c r="I43" s="2">
        <v>1925</v>
      </c>
      <c r="J43" s="2">
        <v>0.57093134999999995</v>
      </c>
      <c r="K43" s="2">
        <v>31158</v>
      </c>
      <c r="L43" s="2">
        <v>327591528062</v>
      </c>
      <c r="M43" s="2">
        <v>30199</v>
      </c>
      <c r="N43" s="2">
        <v>0</v>
      </c>
      <c r="O43" s="2">
        <v>2.74E-6</v>
      </c>
      <c r="P43" s="2">
        <v>17132390</v>
      </c>
      <c r="Q43" s="2">
        <v>154</v>
      </c>
    </row>
    <row r="44" spans="1:17" x14ac:dyDescent="0.25">
      <c r="A44" s="1">
        <v>43566</v>
      </c>
      <c r="B44" s="2">
        <v>1462782021.0599999</v>
      </c>
      <c r="C44" s="2">
        <v>705483250.58299994</v>
      </c>
      <c r="D44" s="2">
        <v>41626</v>
      </c>
      <c r="E44" s="2">
        <v>5407664547.5</v>
      </c>
      <c r="F44" s="2">
        <v>305.12</v>
      </c>
      <c r="G44" s="2">
        <v>1824110954</v>
      </c>
      <c r="H44" s="2">
        <v>5099714208.4799995</v>
      </c>
      <c r="I44" s="2">
        <v>1650</v>
      </c>
      <c r="J44" s="2">
        <v>0.62716707999999999</v>
      </c>
      <c r="K44" s="2">
        <v>34156</v>
      </c>
      <c r="L44" s="2">
        <v>334668132607</v>
      </c>
      <c r="M44" s="2">
        <v>29891</v>
      </c>
      <c r="N44" s="2">
        <v>0</v>
      </c>
      <c r="O44" s="2">
        <v>2.74E-6</v>
      </c>
      <c r="P44" s="2">
        <v>15790905</v>
      </c>
      <c r="Q44" s="2">
        <v>132</v>
      </c>
    </row>
    <row r="45" spans="1:17" x14ac:dyDescent="0.25">
      <c r="A45" s="1">
        <v>43565</v>
      </c>
      <c r="B45" s="2">
        <v>1446341509.27</v>
      </c>
      <c r="C45" s="2">
        <v>723362550.28600001</v>
      </c>
      <c r="D45" s="2">
        <v>38542</v>
      </c>
      <c r="E45" s="2">
        <v>5245012070.9399996</v>
      </c>
      <c r="F45" s="2">
        <v>295.97000000000003</v>
      </c>
      <c r="G45" s="2">
        <v>1476621660</v>
      </c>
      <c r="H45" s="2">
        <v>5096935551.9899998</v>
      </c>
      <c r="I45" s="2">
        <v>1737.5</v>
      </c>
      <c r="J45" s="2">
        <v>0.72476923999999998</v>
      </c>
      <c r="K45" s="2">
        <v>40918</v>
      </c>
      <c r="L45" s="2">
        <v>342555899446</v>
      </c>
      <c r="M45" s="2">
        <v>31349</v>
      </c>
      <c r="N45" s="2">
        <v>1.6159962E-3</v>
      </c>
      <c r="O45" s="2">
        <v>2.74E-6</v>
      </c>
      <c r="P45" s="2">
        <v>16206304</v>
      </c>
      <c r="Q45" s="2">
        <v>139</v>
      </c>
    </row>
    <row r="46" spans="1:17" x14ac:dyDescent="0.25">
      <c r="A46" s="1">
        <v>43564</v>
      </c>
      <c r="B46" s="2">
        <v>1161638421.9100001</v>
      </c>
      <c r="C46" s="2">
        <v>667926138.00699997</v>
      </c>
      <c r="D46" s="2">
        <v>50277</v>
      </c>
      <c r="E46" s="2">
        <v>5492292423.6899996</v>
      </c>
      <c r="F46" s="2">
        <v>309.95</v>
      </c>
      <c r="G46" s="2">
        <v>1312902759</v>
      </c>
      <c r="H46" s="2">
        <v>5055681955.96</v>
      </c>
      <c r="I46" s="2">
        <v>1637.5</v>
      </c>
      <c r="J46" s="2">
        <v>0.86566653000000005</v>
      </c>
      <c r="K46" s="2">
        <v>56711</v>
      </c>
      <c r="L46" s="2">
        <v>362458728442</v>
      </c>
      <c r="M46" s="2">
        <v>53908</v>
      </c>
      <c r="N46" s="2">
        <v>0</v>
      </c>
      <c r="O46" s="2">
        <v>2.74E-6</v>
      </c>
      <c r="P46" s="2">
        <v>19382481</v>
      </c>
      <c r="Q46" s="2">
        <v>131</v>
      </c>
    </row>
    <row r="47" spans="1:17" x14ac:dyDescent="0.25">
      <c r="A47" s="1">
        <v>43563</v>
      </c>
      <c r="B47" s="2">
        <v>1828251585.73</v>
      </c>
      <c r="C47" s="2">
        <v>772578735.95599997</v>
      </c>
      <c r="D47" s="2">
        <v>55342</v>
      </c>
      <c r="E47" s="2">
        <v>5665669397.3000002</v>
      </c>
      <c r="F47" s="2">
        <v>319.77</v>
      </c>
      <c r="G47" s="2">
        <v>1918300729</v>
      </c>
      <c r="H47" s="2">
        <v>5055269566.8599997</v>
      </c>
      <c r="I47" s="2">
        <v>1950</v>
      </c>
      <c r="J47" s="2">
        <v>0.77954411000000001</v>
      </c>
      <c r="K47" s="2">
        <v>38224</v>
      </c>
      <c r="L47" s="2">
        <v>347662119597</v>
      </c>
      <c r="M47" s="2">
        <v>30128</v>
      </c>
      <c r="N47" s="2">
        <v>0</v>
      </c>
      <c r="O47" s="2">
        <v>2.43E-6</v>
      </c>
      <c r="P47" s="2">
        <v>18762458</v>
      </c>
      <c r="Q47" s="2">
        <v>156</v>
      </c>
    </row>
    <row r="48" spans="1:17" x14ac:dyDescent="0.25">
      <c r="A48" s="1">
        <v>43562</v>
      </c>
      <c r="B48" s="2">
        <v>1082898110</v>
      </c>
      <c r="C48" s="2">
        <v>460611738.22000003</v>
      </c>
      <c r="D48" s="2">
        <v>48764</v>
      </c>
      <c r="E48" s="2">
        <v>5417528156.1199999</v>
      </c>
      <c r="F48" s="2">
        <v>305.8</v>
      </c>
      <c r="G48" s="2">
        <v>2183906035</v>
      </c>
      <c r="H48" s="2">
        <v>5046139161.0699997</v>
      </c>
      <c r="I48" s="2">
        <v>1787.5</v>
      </c>
      <c r="J48" s="2">
        <v>0.75247339000000002</v>
      </c>
      <c r="K48" s="2">
        <v>34684</v>
      </c>
      <c r="L48" s="2">
        <v>364811035336</v>
      </c>
      <c r="M48" s="2">
        <v>28186</v>
      </c>
      <c r="N48" s="2">
        <v>0</v>
      </c>
      <c r="O48" s="2">
        <v>2.43E-6</v>
      </c>
      <c r="P48" s="2">
        <v>16188044</v>
      </c>
      <c r="Q48" s="2">
        <v>143</v>
      </c>
    </row>
    <row r="49" spans="1:17" x14ac:dyDescent="0.25">
      <c r="A49" s="1">
        <v>43561</v>
      </c>
      <c r="B49" s="2">
        <v>867230958.34200001</v>
      </c>
      <c r="C49" s="2">
        <v>474750395.45099998</v>
      </c>
      <c r="D49" s="2">
        <v>33275</v>
      </c>
      <c r="E49" s="2">
        <v>5187000944.8199997</v>
      </c>
      <c r="F49" s="2">
        <v>292.81</v>
      </c>
      <c r="G49" s="2">
        <v>2107781161</v>
      </c>
      <c r="H49" s="2">
        <v>5035496663.8699999</v>
      </c>
      <c r="I49" s="2">
        <v>1975</v>
      </c>
      <c r="J49" s="2">
        <v>0.57623000999999996</v>
      </c>
      <c r="K49" s="2">
        <v>33787</v>
      </c>
      <c r="L49" s="2">
        <v>356020837738</v>
      </c>
      <c r="M49" s="2">
        <v>27081</v>
      </c>
      <c r="N49" s="2">
        <v>3.2531191000000001E-3</v>
      </c>
      <c r="O49" s="2">
        <v>2.6000000000000001E-6</v>
      </c>
      <c r="P49" s="2">
        <v>12273407</v>
      </c>
      <c r="Q49" s="2">
        <v>158</v>
      </c>
    </row>
    <row r="50" spans="1:17" x14ac:dyDescent="0.25">
      <c r="A50" s="1">
        <v>43560</v>
      </c>
      <c r="B50" s="2">
        <v>909723153.15900004</v>
      </c>
      <c r="C50" s="2">
        <v>426662735.31599998</v>
      </c>
      <c r="D50" s="2">
        <v>19152</v>
      </c>
      <c r="E50" s="2">
        <v>5077087890.7299995</v>
      </c>
      <c r="F50" s="2">
        <v>286.64</v>
      </c>
      <c r="G50" s="2">
        <v>1697395926</v>
      </c>
      <c r="H50" s="2">
        <v>5022337393.1999998</v>
      </c>
      <c r="I50" s="2">
        <v>1675</v>
      </c>
      <c r="J50" s="2">
        <v>1.40528152</v>
      </c>
      <c r="K50" s="2">
        <v>38305</v>
      </c>
      <c r="L50" s="2">
        <v>362985539608</v>
      </c>
      <c r="M50" s="2">
        <v>28293</v>
      </c>
      <c r="N50" s="2">
        <v>3.4985873864000001</v>
      </c>
      <c r="O50" s="2">
        <v>4.0600000000000001E-6</v>
      </c>
      <c r="P50" s="2">
        <v>9899020</v>
      </c>
      <c r="Q50" s="2">
        <v>134</v>
      </c>
    </row>
    <row r="51" spans="1:17" x14ac:dyDescent="0.25">
      <c r="A51" s="1">
        <v>43559</v>
      </c>
      <c r="B51" s="2">
        <v>1268230543.5</v>
      </c>
      <c r="C51" s="2">
        <v>570064131.83399999</v>
      </c>
      <c r="D51" s="2">
        <v>40314</v>
      </c>
      <c r="E51" s="2">
        <v>5286062020.2299995</v>
      </c>
      <c r="F51" s="2">
        <v>298.47000000000003</v>
      </c>
      <c r="G51" s="2">
        <v>2803008785</v>
      </c>
      <c r="H51" s="2">
        <v>5021050211.9799995</v>
      </c>
      <c r="I51" s="2">
        <v>1762.5</v>
      </c>
      <c r="J51" s="2">
        <v>1.0411974100000001</v>
      </c>
      <c r="K51" s="2">
        <v>44892</v>
      </c>
      <c r="L51" s="2">
        <v>344671289614</v>
      </c>
      <c r="M51" s="2">
        <v>33847</v>
      </c>
      <c r="N51" s="2">
        <v>3.3160017000000001E-3</v>
      </c>
      <c r="O51" s="2">
        <v>2.6000000000000001E-6</v>
      </c>
      <c r="P51" s="2">
        <v>15892579</v>
      </c>
      <c r="Q51" s="2">
        <v>141</v>
      </c>
    </row>
    <row r="52" spans="1:17" x14ac:dyDescent="0.25">
      <c r="A52" s="1">
        <v>43558</v>
      </c>
      <c r="B52" s="2">
        <v>1239304629.4400001</v>
      </c>
      <c r="C52" s="2">
        <v>577371986.05299997</v>
      </c>
      <c r="D52" s="2">
        <v>44906</v>
      </c>
      <c r="E52" s="2">
        <v>4186425396.3600001</v>
      </c>
      <c r="F52" s="2">
        <v>236.4</v>
      </c>
      <c r="G52" s="2">
        <v>4237037516</v>
      </c>
      <c r="H52" s="2">
        <v>5013799184.96</v>
      </c>
      <c r="I52" s="2">
        <v>1912.5</v>
      </c>
      <c r="J52" s="2">
        <v>2.9700926399999998</v>
      </c>
      <c r="K52" s="2">
        <v>65821</v>
      </c>
      <c r="L52" s="2">
        <v>334893035091</v>
      </c>
      <c r="M52" s="2">
        <v>43332</v>
      </c>
      <c r="N52" s="2">
        <v>2.3640000000000001E-2</v>
      </c>
      <c r="O52" s="2">
        <v>2.7800000000000001E-6</v>
      </c>
      <c r="P52" s="2">
        <v>21547146</v>
      </c>
      <c r="Q52" s="2">
        <v>153</v>
      </c>
    </row>
    <row r="53" spans="1:17" x14ac:dyDescent="0.25">
      <c r="A53" s="1">
        <v>43557</v>
      </c>
      <c r="B53" s="2">
        <v>465663279.69999999</v>
      </c>
      <c r="C53" s="2">
        <v>230407846.19800001</v>
      </c>
      <c r="D53" s="2">
        <v>24325</v>
      </c>
      <c r="E53" s="2">
        <v>2968257151.5500002</v>
      </c>
      <c r="F53" s="2">
        <v>167.63</v>
      </c>
      <c r="G53" s="2">
        <v>1648897519</v>
      </c>
      <c r="H53" s="2">
        <v>4945388617.1499996</v>
      </c>
      <c r="I53" s="2">
        <v>2037.5</v>
      </c>
      <c r="J53" s="2">
        <v>1.5715614499999999</v>
      </c>
      <c r="K53" s="2">
        <v>67712</v>
      </c>
      <c r="L53" s="2">
        <v>251511016223</v>
      </c>
      <c r="M53" s="2">
        <v>56256</v>
      </c>
      <c r="N53" s="2">
        <v>1.0696973190000001</v>
      </c>
      <c r="O53" s="2">
        <v>4.0600000000000001E-6</v>
      </c>
      <c r="P53" s="2">
        <v>13632112</v>
      </c>
      <c r="Q53" s="2">
        <v>163</v>
      </c>
    </row>
    <row r="54" spans="1:17" x14ac:dyDescent="0.25">
      <c r="A54" s="1">
        <v>43556</v>
      </c>
      <c r="B54" s="2">
        <v>312955693.62900001</v>
      </c>
      <c r="C54" s="2">
        <v>167102720.21200001</v>
      </c>
      <c r="D54" s="2">
        <v>17650</v>
      </c>
      <c r="E54" s="2">
        <v>2990314580.4499998</v>
      </c>
      <c r="F54" s="2">
        <v>168.9</v>
      </c>
      <c r="G54" s="2">
        <v>465814641</v>
      </c>
      <c r="H54" s="2">
        <v>4905780178.2299995</v>
      </c>
      <c r="I54" s="2">
        <v>1787.5</v>
      </c>
      <c r="J54" s="2">
        <v>0.57171168000000006</v>
      </c>
      <c r="K54" s="2">
        <v>36621</v>
      </c>
      <c r="L54" s="2">
        <v>234583178539</v>
      </c>
      <c r="M54" s="2">
        <v>26408</v>
      </c>
      <c r="N54" s="2">
        <v>1.22802123</v>
      </c>
      <c r="O54" s="2">
        <v>4.0600000000000001E-6</v>
      </c>
      <c r="P54" s="2">
        <v>9356466</v>
      </c>
      <c r="Q54" s="2">
        <v>143</v>
      </c>
    </row>
    <row r="55" spans="1:17" x14ac:dyDescent="0.25">
      <c r="A55" s="1">
        <v>43555</v>
      </c>
      <c r="B55" s="2">
        <v>374129057.46399999</v>
      </c>
      <c r="C55" s="2">
        <v>215672497.19800001</v>
      </c>
      <c r="D55" s="2">
        <v>10756</v>
      </c>
      <c r="E55" s="2">
        <v>2985420069.6399999</v>
      </c>
      <c r="F55" s="2">
        <v>168.64</v>
      </c>
      <c r="G55" s="2">
        <v>454369901</v>
      </c>
      <c r="H55" s="2">
        <v>4908312389.3599997</v>
      </c>
      <c r="I55" s="2">
        <v>1625</v>
      </c>
      <c r="J55" s="2">
        <v>0.27860776999999998</v>
      </c>
      <c r="K55" s="2">
        <v>28201</v>
      </c>
      <c r="L55" s="2">
        <v>257096823805</v>
      </c>
      <c r="M55" s="2">
        <v>18756</v>
      </c>
      <c r="N55" s="2">
        <v>5.7321899615999996</v>
      </c>
      <c r="O55" s="2">
        <v>3.7400000000000002E-6</v>
      </c>
      <c r="P55" s="2">
        <v>5649567</v>
      </c>
      <c r="Q55" s="2">
        <v>130</v>
      </c>
    </row>
    <row r="56" spans="1:17" x14ac:dyDescent="0.25">
      <c r="A56" s="1">
        <v>43554</v>
      </c>
      <c r="B56" s="2">
        <v>403512471.46700001</v>
      </c>
      <c r="C56" s="2">
        <v>214627807</v>
      </c>
      <c r="D56" s="2">
        <v>16960</v>
      </c>
      <c r="E56" s="2">
        <v>3014541588.4000001</v>
      </c>
      <c r="F56" s="2">
        <v>170.3</v>
      </c>
      <c r="G56" s="2">
        <v>581569997</v>
      </c>
      <c r="H56" s="2">
        <v>4908660636.4799995</v>
      </c>
      <c r="I56" s="2">
        <v>1825</v>
      </c>
      <c r="J56" s="2">
        <v>0.36945320999999998</v>
      </c>
      <c r="K56" s="2">
        <v>30892</v>
      </c>
      <c r="L56" s="2">
        <v>249848766453</v>
      </c>
      <c r="M56" s="2">
        <v>25063</v>
      </c>
      <c r="N56" s="2">
        <v>2.0910523919999999</v>
      </c>
      <c r="O56" s="2">
        <v>4.0600000000000001E-6</v>
      </c>
      <c r="P56" s="2">
        <v>8649148</v>
      </c>
      <c r="Q56" s="2">
        <v>146</v>
      </c>
    </row>
    <row r="57" spans="1:17" x14ac:dyDescent="0.25">
      <c r="A57" s="1">
        <v>43553</v>
      </c>
      <c r="B57" s="2">
        <v>406214526.35900003</v>
      </c>
      <c r="C57" s="2">
        <v>259006811.748</v>
      </c>
      <c r="D57" s="2">
        <v>17446</v>
      </c>
      <c r="E57" s="2">
        <v>2997450315.25</v>
      </c>
      <c r="F57" s="2">
        <v>169.35</v>
      </c>
      <c r="G57" s="2">
        <v>560103605</v>
      </c>
      <c r="H57" s="2">
        <v>4911745529.8699999</v>
      </c>
      <c r="I57" s="2">
        <v>1750</v>
      </c>
      <c r="J57" s="2">
        <v>0.40926538000000001</v>
      </c>
      <c r="K57" s="2">
        <v>33488</v>
      </c>
      <c r="L57" s="2">
        <v>256041387439</v>
      </c>
      <c r="M57" s="2">
        <v>26267</v>
      </c>
      <c r="N57" s="2">
        <v>1.1346449999999999</v>
      </c>
      <c r="O57" s="2">
        <v>4.0600000000000001E-6</v>
      </c>
      <c r="P57" s="2">
        <v>8905687</v>
      </c>
      <c r="Q57" s="2">
        <v>140</v>
      </c>
    </row>
    <row r="58" spans="1:17" x14ac:dyDescent="0.25">
      <c r="A58" s="1">
        <v>43552</v>
      </c>
      <c r="B58" s="2">
        <v>350851143.22799999</v>
      </c>
      <c r="C58" s="2">
        <v>217016554.68099999</v>
      </c>
      <c r="D58" s="2">
        <v>20245</v>
      </c>
      <c r="E58" s="2">
        <v>3063592604.8200002</v>
      </c>
      <c r="F58" s="2">
        <v>173.1</v>
      </c>
      <c r="G58" s="2">
        <v>545985641</v>
      </c>
      <c r="H58" s="2">
        <v>5065620526.7299995</v>
      </c>
      <c r="I58" s="2">
        <v>1800</v>
      </c>
      <c r="J58" s="2">
        <v>0.41667390999999998</v>
      </c>
      <c r="K58" s="2">
        <v>32548</v>
      </c>
      <c r="L58" s="2">
        <v>258622714824</v>
      </c>
      <c r="M58" s="2">
        <v>26709</v>
      </c>
      <c r="N58" s="2">
        <v>0.1731</v>
      </c>
      <c r="O58" s="2">
        <v>3.76E-6</v>
      </c>
      <c r="P58" s="2">
        <v>9443005</v>
      </c>
      <c r="Q58" s="2">
        <v>144</v>
      </c>
    </row>
    <row r="59" spans="1:17" x14ac:dyDescent="0.25">
      <c r="A59" s="1">
        <v>43551</v>
      </c>
      <c r="B59" s="2">
        <v>449501656.09399998</v>
      </c>
      <c r="C59" s="2">
        <v>200385465.59999999</v>
      </c>
      <c r="D59" s="2">
        <v>22676</v>
      </c>
      <c r="E59" s="2">
        <v>2840424512.8600001</v>
      </c>
      <c r="F59" s="2">
        <v>160.51</v>
      </c>
      <c r="G59" s="2">
        <v>566792974</v>
      </c>
      <c r="H59" s="2">
        <v>5066909800.6700001</v>
      </c>
      <c r="I59" s="2">
        <v>2100</v>
      </c>
      <c r="J59" s="2">
        <v>0.58899349000000001</v>
      </c>
      <c r="K59" s="2">
        <v>40086</v>
      </c>
      <c r="L59" s="2">
        <v>245075410131</v>
      </c>
      <c r="M59" s="2">
        <v>30450</v>
      </c>
      <c r="N59" s="2">
        <v>1.90011738E-2</v>
      </c>
      <c r="O59" s="2">
        <v>4.0600000000000001E-6</v>
      </c>
      <c r="P59" s="2">
        <v>11863787</v>
      </c>
      <c r="Q59" s="2">
        <v>168</v>
      </c>
    </row>
    <row r="60" spans="1:17" x14ac:dyDescent="0.25">
      <c r="A60" s="1">
        <v>43550</v>
      </c>
      <c r="B60" s="2">
        <v>577951272.51199996</v>
      </c>
      <c r="C60" s="2">
        <v>233199646.14700001</v>
      </c>
      <c r="D60" s="2">
        <v>19286</v>
      </c>
      <c r="E60" s="2">
        <v>2855614169.3499999</v>
      </c>
      <c r="F60" s="2">
        <v>161.38999999999999</v>
      </c>
      <c r="G60" s="2">
        <v>448350663</v>
      </c>
      <c r="H60" s="2">
        <v>5063039887.3100004</v>
      </c>
      <c r="I60" s="2">
        <v>1662.5</v>
      </c>
      <c r="J60" s="2">
        <v>0.37173977000000002</v>
      </c>
      <c r="K60" s="2">
        <v>50213</v>
      </c>
      <c r="L60" s="2">
        <v>242785406378</v>
      </c>
      <c r="M60" s="2">
        <v>48213</v>
      </c>
      <c r="N60" s="2">
        <v>1.68571855E-2</v>
      </c>
      <c r="O60" s="2">
        <v>4.0600000000000001E-6</v>
      </c>
      <c r="P60" s="2">
        <v>9726305</v>
      </c>
      <c r="Q60" s="2">
        <v>133</v>
      </c>
    </row>
    <row r="61" spans="1:17" x14ac:dyDescent="0.25">
      <c r="A61" s="1">
        <v>43549</v>
      </c>
      <c r="B61" s="2">
        <v>565904660.37600005</v>
      </c>
      <c r="C61" s="2">
        <v>277904055.88499999</v>
      </c>
      <c r="D61" s="2">
        <v>31684</v>
      </c>
      <c r="E61" s="2">
        <v>2938855061.54</v>
      </c>
      <c r="F61" s="2">
        <v>166.11</v>
      </c>
      <c r="G61" s="2">
        <v>462768947</v>
      </c>
      <c r="H61" s="2">
        <v>5067391952.96</v>
      </c>
      <c r="I61" s="2">
        <v>1700</v>
      </c>
      <c r="J61" s="2">
        <v>0.32783395999999998</v>
      </c>
      <c r="K61" s="2">
        <v>26775</v>
      </c>
      <c r="L61" s="2">
        <v>246517314413</v>
      </c>
      <c r="M61" s="2">
        <v>24562</v>
      </c>
      <c r="N61" s="2">
        <v>1.8454821000000001E-3</v>
      </c>
      <c r="O61" s="2">
        <v>2.6000000000000001E-6</v>
      </c>
      <c r="P61" s="2">
        <v>11510959</v>
      </c>
      <c r="Q61" s="2">
        <v>136</v>
      </c>
    </row>
    <row r="62" spans="1:17" x14ac:dyDescent="0.25">
      <c r="A62" s="1">
        <v>43548</v>
      </c>
      <c r="B62" s="2">
        <v>266227638.93700001</v>
      </c>
      <c r="C62" s="2">
        <v>166677859.62900001</v>
      </c>
      <c r="D62" s="2">
        <v>13068</v>
      </c>
      <c r="E62" s="2">
        <v>2955874042.5</v>
      </c>
      <c r="F62" s="2">
        <v>167.09</v>
      </c>
      <c r="G62" s="2">
        <v>400180522</v>
      </c>
      <c r="H62" s="2">
        <v>5129350905.3900003</v>
      </c>
      <c r="I62" s="2">
        <v>1837.5</v>
      </c>
      <c r="J62" s="2">
        <v>0.32628650999999997</v>
      </c>
      <c r="K62" s="2">
        <v>21927</v>
      </c>
      <c r="L62" s="2">
        <v>231064614805</v>
      </c>
      <c r="M62" s="2">
        <v>16534</v>
      </c>
      <c r="N62" s="2">
        <v>1.6776972212000001</v>
      </c>
      <c r="O62" s="2">
        <v>4.0600000000000001E-6</v>
      </c>
      <c r="P62" s="2">
        <v>5890652</v>
      </c>
      <c r="Q62" s="2">
        <v>147</v>
      </c>
    </row>
    <row r="63" spans="1:17" x14ac:dyDescent="0.25">
      <c r="A63" s="1">
        <v>43547</v>
      </c>
      <c r="B63" s="2">
        <v>457780427.954</v>
      </c>
      <c r="C63" s="2">
        <v>208374477.803</v>
      </c>
      <c r="D63" s="2">
        <v>18553</v>
      </c>
      <c r="E63" s="2">
        <v>2797155386.8600001</v>
      </c>
      <c r="F63" s="2">
        <v>158.13</v>
      </c>
      <c r="G63" s="2">
        <v>518279691</v>
      </c>
      <c r="H63" s="2">
        <v>5131482971.6199999</v>
      </c>
      <c r="I63" s="2">
        <v>1850</v>
      </c>
      <c r="J63" s="2">
        <v>0.34557578999999999</v>
      </c>
      <c r="K63" s="2">
        <v>25786</v>
      </c>
      <c r="L63" s="2">
        <v>235959876817</v>
      </c>
      <c r="M63" s="2">
        <v>18981</v>
      </c>
      <c r="N63" s="2">
        <v>9.83505348E-2</v>
      </c>
      <c r="O63" s="2">
        <v>2.7800000000000001E-6</v>
      </c>
      <c r="P63" s="2">
        <v>7963349</v>
      </c>
      <c r="Q63" s="2">
        <v>148</v>
      </c>
    </row>
    <row r="64" spans="1:17" x14ac:dyDescent="0.25">
      <c r="A64" s="1">
        <v>43546</v>
      </c>
      <c r="B64" s="2">
        <v>294557213.21600002</v>
      </c>
      <c r="C64" s="2">
        <v>136971397.32100001</v>
      </c>
      <c r="D64" s="2">
        <v>21221</v>
      </c>
      <c r="E64" s="2">
        <v>2736372894.21</v>
      </c>
      <c r="F64" s="2">
        <v>154.71</v>
      </c>
      <c r="G64" s="2">
        <v>373689646</v>
      </c>
      <c r="H64" s="2">
        <v>5129739707.3800001</v>
      </c>
      <c r="I64" s="2">
        <v>1887.5</v>
      </c>
      <c r="J64" s="2">
        <v>0.42040052</v>
      </c>
      <c r="K64" s="2">
        <v>27109</v>
      </c>
      <c r="L64" s="2">
        <v>221108128749</v>
      </c>
      <c r="M64" s="2">
        <v>19632</v>
      </c>
      <c r="N64" s="2">
        <v>1.5471E-2</v>
      </c>
      <c r="O64" s="2">
        <v>3.7400000000000002E-6</v>
      </c>
      <c r="P64" s="2">
        <v>9533502</v>
      </c>
      <c r="Q64" s="2">
        <v>151</v>
      </c>
    </row>
    <row r="65" spans="1:17" x14ac:dyDescent="0.25">
      <c r="A65" s="1">
        <v>43545</v>
      </c>
      <c r="B65" s="2">
        <v>394451220.389</v>
      </c>
      <c r="C65" s="2">
        <v>185352614.37</v>
      </c>
      <c r="D65" s="2">
        <v>39003</v>
      </c>
      <c r="E65" s="2">
        <v>2843536885.1199999</v>
      </c>
      <c r="F65" s="2">
        <v>160.79</v>
      </c>
      <c r="G65" s="2">
        <v>488749472</v>
      </c>
      <c r="H65" s="2">
        <v>5124594542.25</v>
      </c>
      <c r="I65" s="2">
        <v>1687.5</v>
      </c>
      <c r="J65" s="2">
        <v>0.52994264000000002</v>
      </c>
      <c r="K65" s="2">
        <v>32424</v>
      </c>
      <c r="L65" s="2">
        <v>212323200883</v>
      </c>
      <c r="M65" s="2">
        <v>25341</v>
      </c>
      <c r="N65" s="2">
        <v>0</v>
      </c>
      <c r="O65" s="2">
        <v>2.6000000000000001E-6</v>
      </c>
      <c r="P65" s="2">
        <v>18004933</v>
      </c>
      <c r="Q65" s="2">
        <v>135</v>
      </c>
    </row>
    <row r="66" spans="1:17" x14ac:dyDescent="0.25">
      <c r="A66" s="1">
        <v>43544</v>
      </c>
      <c r="B66" s="2">
        <v>278606642.71700001</v>
      </c>
      <c r="C66" s="2">
        <v>159694034.30500001</v>
      </c>
      <c r="D66" s="2">
        <v>18950</v>
      </c>
      <c r="E66" s="2">
        <v>2870608941.3600001</v>
      </c>
      <c r="F66" s="2">
        <v>162.33000000000001</v>
      </c>
      <c r="G66" s="2">
        <v>394747561</v>
      </c>
      <c r="H66" s="2">
        <v>5132291040.7399998</v>
      </c>
      <c r="I66" s="2">
        <v>1825</v>
      </c>
      <c r="J66" s="2">
        <v>0.68620871000000006</v>
      </c>
      <c r="K66" s="2">
        <v>27483</v>
      </c>
      <c r="L66" s="2">
        <v>228945686101</v>
      </c>
      <c r="M66" s="2">
        <v>23096</v>
      </c>
      <c r="N66" s="2">
        <v>5.4104588999999998E-3</v>
      </c>
      <c r="O66" s="2">
        <v>4.0600000000000001E-6</v>
      </c>
      <c r="P66" s="2">
        <v>9622260</v>
      </c>
      <c r="Q66" s="2">
        <v>146</v>
      </c>
    </row>
    <row r="67" spans="1:17" x14ac:dyDescent="0.25">
      <c r="A67" s="1">
        <v>43543</v>
      </c>
      <c r="B67" s="2">
        <v>320807322.58399999</v>
      </c>
      <c r="C67" s="2">
        <v>168301530.13499999</v>
      </c>
      <c r="D67" s="2">
        <v>15833</v>
      </c>
      <c r="E67" s="2">
        <v>2874992830.0599999</v>
      </c>
      <c r="F67" s="2">
        <v>162.6</v>
      </c>
      <c r="G67" s="2">
        <v>430154285</v>
      </c>
      <c r="H67" s="2">
        <v>5133608142.0500002</v>
      </c>
      <c r="I67" s="2">
        <v>1800</v>
      </c>
      <c r="J67" s="2">
        <v>0.65935416000000002</v>
      </c>
      <c r="K67" s="2">
        <v>45061</v>
      </c>
      <c r="L67" s="2">
        <v>232828208203</v>
      </c>
      <c r="M67" s="2">
        <v>40033</v>
      </c>
      <c r="N67" s="2">
        <v>0.81268780799999996</v>
      </c>
      <c r="O67" s="2">
        <v>4.0600000000000001E-6</v>
      </c>
      <c r="P67" s="2">
        <v>8154235</v>
      </c>
      <c r="Q67" s="2">
        <v>144</v>
      </c>
    </row>
    <row r="68" spans="1:17" x14ac:dyDescent="0.25">
      <c r="A68" s="1">
        <v>43542</v>
      </c>
      <c r="B68" s="2">
        <v>527790707.56300002</v>
      </c>
      <c r="C68" s="2">
        <v>229108225.95100001</v>
      </c>
      <c r="D68" s="2">
        <v>11110</v>
      </c>
      <c r="E68" s="2">
        <v>2762722328.79</v>
      </c>
      <c r="F68" s="2">
        <v>156.26</v>
      </c>
      <c r="G68" s="2">
        <v>635931669</v>
      </c>
      <c r="H68" s="2">
        <v>5132712581.9799995</v>
      </c>
      <c r="I68" s="2">
        <v>1600</v>
      </c>
      <c r="J68" s="2">
        <v>0.54122528999999997</v>
      </c>
      <c r="K68" s="2">
        <v>26791</v>
      </c>
      <c r="L68" s="2">
        <v>241877003831</v>
      </c>
      <c r="M68" s="2">
        <v>16644</v>
      </c>
      <c r="N68" s="2">
        <v>9.7352011380000008</v>
      </c>
      <c r="O68" s="2">
        <v>3.7400000000000002E-6</v>
      </c>
      <c r="P68" s="2">
        <v>5436579</v>
      </c>
      <c r="Q68" s="2">
        <v>128</v>
      </c>
    </row>
    <row r="69" spans="1:17" x14ac:dyDescent="0.25">
      <c r="A69" s="1">
        <v>43541</v>
      </c>
      <c r="B69" s="2">
        <v>410577174.45200002</v>
      </c>
      <c r="C69" s="2">
        <v>154704116.95699999</v>
      </c>
      <c r="D69" s="2">
        <v>10694</v>
      </c>
      <c r="E69" s="2">
        <v>2783243710.5</v>
      </c>
      <c r="F69" s="2">
        <v>157.44</v>
      </c>
      <c r="G69" s="2">
        <v>437535869</v>
      </c>
      <c r="H69" s="2">
        <v>5132448034.9200001</v>
      </c>
      <c r="I69" s="2">
        <v>1975</v>
      </c>
      <c r="J69" s="2">
        <v>0.31491439999999998</v>
      </c>
      <c r="K69" s="2">
        <v>20707</v>
      </c>
      <c r="L69" s="2">
        <v>221222230531</v>
      </c>
      <c r="M69" s="2">
        <v>13352</v>
      </c>
      <c r="N69" s="2">
        <v>3.7129059456000002</v>
      </c>
      <c r="O69" s="2">
        <v>3.7400000000000002E-6</v>
      </c>
      <c r="P69" s="2">
        <v>4629434</v>
      </c>
      <c r="Q69" s="2">
        <v>158</v>
      </c>
    </row>
    <row r="70" spans="1:17" x14ac:dyDescent="0.25">
      <c r="A70" s="1">
        <v>43540</v>
      </c>
      <c r="B70" s="2">
        <v>393152000.06099999</v>
      </c>
      <c r="C70" s="2">
        <v>163491823.38</v>
      </c>
      <c r="D70" s="2">
        <v>11724</v>
      </c>
      <c r="E70" s="2">
        <v>2545024906.1900001</v>
      </c>
      <c r="F70" s="2">
        <v>143.97999999999999</v>
      </c>
      <c r="G70" s="2">
        <v>648403250</v>
      </c>
      <c r="H70" s="2">
        <v>5134056563.8699999</v>
      </c>
      <c r="I70" s="2">
        <v>1912.5</v>
      </c>
      <c r="J70" s="2">
        <v>0.51425246000000002</v>
      </c>
      <c r="K70" s="2">
        <v>27542</v>
      </c>
      <c r="L70" s="2">
        <v>224635861414</v>
      </c>
      <c r="M70" s="2">
        <v>16023</v>
      </c>
      <c r="N70" s="2">
        <v>24.461346758800001</v>
      </c>
      <c r="O70" s="2">
        <v>3.7400000000000002E-6</v>
      </c>
      <c r="P70" s="2">
        <v>5853938</v>
      </c>
      <c r="Q70" s="2">
        <v>153</v>
      </c>
    </row>
    <row r="71" spans="1:17" x14ac:dyDescent="0.25">
      <c r="A71" s="1">
        <v>43539</v>
      </c>
      <c r="B71" s="2">
        <v>265810674.02900001</v>
      </c>
      <c r="C71" s="2">
        <v>101598184.68700001</v>
      </c>
      <c r="D71" s="2">
        <v>11401</v>
      </c>
      <c r="E71" s="2">
        <v>2364709148.6500001</v>
      </c>
      <c r="F71" s="2">
        <v>133.79</v>
      </c>
      <c r="G71" s="2">
        <v>363130165</v>
      </c>
      <c r="H71" s="2">
        <v>5129433903.7600002</v>
      </c>
      <c r="I71" s="2">
        <v>1825</v>
      </c>
      <c r="J71" s="2">
        <v>0.59698695000000002</v>
      </c>
      <c r="K71" s="2">
        <v>24614</v>
      </c>
      <c r="L71" s="2">
        <v>211371228583</v>
      </c>
      <c r="M71" s="2">
        <v>13897</v>
      </c>
      <c r="N71" s="2">
        <v>5.5073676833</v>
      </c>
      <c r="O71" s="2">
        <v>3.76E-6</v>
      </c>
      <c r="P71" s="2">
        <v>6123615</v>
      </c>
      <c r="Q71" s="2">
        <v>146</v>
      </c>
    </row>
    <row r="72" spans="1:17" x14ac:dyDescent="0.25">
      <c r="A72" s="1">
        <v>43538</v>
      </c>
      <c r="B72" s="2">
        <v>251573136.56299999</v>
      </c>
      <c r="C72" s="2">
        <v>176241150.36000001</v>
      </c>
      <c r="D72" s="2">
        <v>16699</v>
      </c>
      <c r="E72" s="2">
        <v>2276542748.8299999</v>
      </c>
      <c r="F72" s="2">
        <v>128.82</v>
      </c>
      <c r="G72" s="2">
        <v>388641464</v>
      </c>
      <c r="H72" s="2">
        <v>5129117550.3199997</v>
      </c>
      <c r="I72" s="2">
        <v>1737.5</v>
      </c>
      <c r="J72" s="2">
        <v>0.39567772000000001</v>
      </c>
      <c r="K72" s="2">
        <v>31650</v>
      </c>
      <c r="L72" s="2">
        <v>204425748463</v>
      </c>
      <c r="M72" s="2">
        <v>19732</v>
      </c>
      <c r="N72" s="2">
        <v>0.35799078000000001</v>
      </c>
      <c r="O72" s="2">
        <v>4.0600000000000001E-6</v>
      </c>
      <c r="P72" s="2">
        <v>9489738</v>
      </c>
      <c r="Q72" s="2">
        <v>139</v>
      </c>
    </row>
    <row r="73" spans="1:17" x14ac:dyDescent="0.25">
      <c r="A73" s="1">
        <v>43537</v>
      </c>
      <c r="B73" s="2">
        <v>235918061.215</v>
      </c>
      <c r="C73" s="2">
        <v>113936200.18000001</v>
      </c>
      <c r="D73" s="2">
        <v>14585</v>
      </c>
      <c r="E73" s="2">
        <v>2282955329.1700001</v>
      </c>
      <c r="F73" s="2">
        <v>129.19</v>
      </c>
      <c r="G73" s="2">
        <v>217915164</v>
      </c>
      <c r="H73" s="2">
        <v>5128872270.3100004</v>
      </c>
      <c r="I73" s="2">
        <v>1737.5</v>
      </c>
      <c r="J73" s="2">
        <v>0.46902461000000001</v>
      </c>
      <c r="K73" s="2">
        <v>28482</v>
      </c>
      <c r="L73" s="2">
        <v>202120980873</v>
      </c>
      <c r="M73" s="2">
        <v>22252</v>
      </c>
      <c r="N73" s="2">
        <v>0.26049613220000001</v>
      </c>
      <c r="O73" s="2">
        <v>4.0600000000000001E-6</v>
      </c>
      <c r="P73" s="2">
        <v>7545819</v>
      </c>
      <c r="Q73" s="2">
        <v>139</v>
      </c>
    </row>
    <row r="74" spans="1:17" x14ac:dyDescent="0.25">
      <c r="A74" s="1">
        <v>43536</v>
      </c>
      <c r="B74" s="2">
        <v>268585671.116</v>
      </c>
      <c r="C74" s="2">
        <v>158424347.347</v>
      </c>
      <c r="D74" s="2">
        <v>13184</v>
      </c>
      <c r="E74" s="2">
        <v>2303129259.6700001</v>
      </c>
      <c r="F74" s="2">
        <v>130.35</v>
      </c>
      <c r="G74" s="2">
        <v>232279797</v>
      </c>
      <c r="H74" s="2">
        <v>5129494425.6300001</v>
      </c>
      <c r="I74" s="2">
        <v>1737.5</v>
      </c>
      <c r="J74" s="2">
        <v>0.42066955</v>
      </c>
      <c r="K74" s="2">
        <v>41039</v>
      </c>
      <c r="L74" s="2">
        <v>198680836446</v>
      </c>
      <c r="M74" s="2">
        <v>35541</v>
      </c>
      <c r="N74" s="2">
        <v>0.80947349999999996</v>
      </c>
      <c r="O74" s="2">
        <v>4.0600000000000001E-6</v>
      </c>
      <c r="P74" s="2">
        <v>7152467</v>
      </c>
      <c r="Q74" s="2">
        <v>139</v>
      </c>
    </row>
    <row r="75" spans="1:17" x14ac:dyDescent="0.25">
      <c r="A75" s="1">
        <v>43535</v>
      </c>
      <c r="B75" s="2">
        <v>424651213.22299999</v>
      </c>
      <c r="C75" s="2">
        <v>155158232.641</v>
      </c>
      <c r="D75" s="2">
        <v>10444</v>
      </c>
      <c r="E75" s="2">
        <v>2347363311.48</v>
      </c>
      <c r="F75" s="2">
        <v>132.86000000000001</v>
      </c>
      <c r="G75" s="2">
        <v>268403469</v>
      </c>
      <c r="H75" s="2">
        <v>5215994592.3400002</v>
      </c>
      <c r="I75" s="2">
        <v>1825</v>
      </c>
      <c r="J75" s="2">
        <v>0.40992905000000002</v>
      </c>
      <c r="K75" s="2">
        <v>23841</v>
      </c>
      <c r="L75" s="2">
        <v>198215156972</v>
      </c>
      <c r="M75" s="2">
        <v>15199</v>
      </c>
      <c r="N75" s="2">
        <v>4.3827258929999999</v>
      </c>
      <c r="O75" s="2">
        <v>3.76E-6</v>
      </c>
      <c r="P75" s="2">
        <v>4963844</v>
      </c>
      <c r="Q75" s="2">
        <v>146</v>
      </c>
    </row>
    <row r="76" spans="1:17" x14ac:dyDescent="0.25">
      <c r="A76" s="1">
        <v>43534</v>
      </c>
      <c r="B76" s="2">
        <v>267553404.352</v>
      </c>
      <c r="C76" s="2">
        <v>127591779.57700001</v>
      </c>
      <c r="D76" s="2">
        <v>9683</v>
      </c>
      <c r="E76" s="2">
        <v>2367841313.25</v>
      </c>
      <c r="F76" s="2">
        <v>134.04</v>
      </c>
      <c r="G76" s="2">
        <v>274459921</v>
      </c>
      <c r="H76" s="2">
        <v>5217094238.9899998</v>
      </c>
      <c r="I76" s="2">
        <v>1800</v>
      </c>
      <c r="J76" s="2">
        <v>0.21190885000000001</v>
      </c>
      <c r="K76" s="2">
        <v>19053</v>
      </c>
      <c r="L76" s="2">
        <v>197297220006</v>
      </c>
      <c r="M76" s="2">
        <v>11281</v>
      </c>
      <c r="N76" s="2">
        <v>2.6165170968</v>
      </c>
      <c r="O76" s="2">
        <v>3.1700000000000001E-6</v>
      </c>
      <c r="P76" s="2">
        <v>3996934</v>
      </c>
      <c r="Q76" s="2">
        <v>144</v>
      </c>
    </row>
    <row r="77" spans="1:17" x14ac:dyDescent="0.25">
      <c r="A77" s="1">
        <v>43533</v>
      </c>
      <c r="B77" s="2">
        <v>248881220.24900001</v>
      </c>
      <c r="C77" s="2">
        <v>123273331.86300001</v>
      </c>
      <c r="D77" s="2">
        <v>8934</v>
      </c>
      <c r="E77" s="2">
        <v>2285957086.7199998</v>
      </c>
      <c r="F77" s="2">
        <v>129.41999999999999</v>
      </c>
      <c r="G77" s="2">
        <v>317778034</v>
      </c>
      <c r="H77" s="2">
        <v>5226223339.6300001</v>
      </c>
      <c r="I77" s="2">
        <v>1862.5</v>
      </c>
      <c r="J77" s="2">
        <v>0.34204146000000002</v>
      </c>
      <c r="K77" s="2">
        <v>19954</v>
      </c>
      <c r="L77" s="2">
        <v>198766102455</v>
      </c>
      <c r="M77" s="2">
        <v>12206</v>
      </c>
      <c r="N77" s="2">
        <v>5.5565635770000004</v>
      </c>
      <c r="O77" s="2">
        <v>3.7400000000000002E-6</v>
      </c>
      <c r="P77" s="2">
        <v>4061325</v>
      </c>
      <c r="Q77" s="2">
        <v>149</v>
      </c>
    </row>
    <row r="78" spans="1:17" x14ac:dyDescent="0.25">
      <c r="A78" s="1">
        <v>43532</v>
      </c>
      <c r="B78" s="2">
        <v>327638498.49400002</v>
      </c>
      <c r="C78" s="2">
        <v>112009337.388</v>
      </c>
      <c r="D78" s="2">
        <v>11549</v>
      </c>
      <c r="E78" s="2">
        <v>2335074565.54</v>
      </c>
      <c r="F78" s="2">
        <v>132.21</v>
      </c>
      <c r="G78" s="2">
        <v>301191835</v>
      </c>
      <c r="H78" s="2">
        <v>5227816251</v>
      </c>
      <c r="I78" s="2">
        <v>1862.5</v>
      </c>
      <c r="J78" s="2">
        <v>0.27444866000000001</v>
      </c>
      <c r="K78" s="2">
        <v>23978</v>
      </c>
      <c r="L78" s="2">
        <v>198372509104</v>
      </c>
      <c r="M78" s="2">
        <v>12825</v>
      </c>
      <c r="N78" s="2">
        <v>1.7387069310000001</v>
      </c>
      <c r="O78" s="2">
        <v>2.6000000000000001E-6</v>
      </c>
      <c r="P78" s="2">
        <v>5263551</v>
      </c>
      <c r="Q78" s="2">
        <v>149</v>
      </c>
    </row>
    <row r="79" spans="1:17" x14ac:dyDescent="0.25">
      <c r="A79" s="1">
        <v>43531</v>
      </c>
      <c r="B79" s="2">
        <v>343891510.773</v>
      </c>
      <c r="C79" s="2">
        <v>130798067.822</v>
      </c>
      <c r="D79" s="2">
        <v>8752</v>
      </c>
      <c r="E79" s="2">
        <v>2353826707.7800002</v>
      </c>
      <c r="F79" s="2">
        <v>133.29</v>
      </c>
      <c r="G79" s="2">
        <v>281220759</v>
      </c>
      <c r="H79" s="2">
        <v>5230410339.1099997</v>
      </c>
      <c r="I79" s="2">
        <v>1787.5</v>
      </c>
      <c r="J79" s="2">
        <v>0.33137821000000001</v>
      </c>
      <c r="K79" s="2">
        <v>23530</v>
      </c>
      <c r="L79" s="2">
        <v>198181218202</v>
      </c>
      <c r="M79" s="2">
        <v>11591</v>
      </c>
      <c r="N79" s="2">
        <v>9.6828120630000001</v>
      </c>
      <c r="O79" s="2">
        <v>3.7400000000000002E-6</v>
      </c>
      <c r="P79" s="2">
        <v>5010237</v>
      </c>
      <c r="Q79" s="2">
        <v>143</v>
      </c>
    </row>
    <row r="80" spans="1:17" x14ac:dyDescent="0.25">
      <c r="A80" s="1">
        <v>43530</v>
      </c>
      <c r="B80" s="2">
        <v>227982820.59900001</v>
      </c>
      <c r="C80" s="2">
        <v>136613400.822</v>
      </c>
      <c r="D80" s="2">
        <v>9880</v>
      </c>
      <c r="E80" s="2">
        <v>2355741086.6799998</v>
      </c>
      <c r="F80" s="2">
        <v>133.41</v>
      </c>
      <c r="G80" s="2">
        <v>281163956</v>
      </c>
      <c r="H80" s="2">
        <v>5231343537.1700001</v>
      </c>
      <c r="I80" s="2">
        <v>1825</v>
      </c>
      <c r="J80" s="2">
        <v>0.35902961999999999</v>
      </c>
      <c r="K80" s="2">
        <v>21543</v>
      </c>
      <c r="L80" s="2">
        <v>198996313293</v>
      </c>
      <c r="M80" s="2">
        <v>12737</v>
      </c>
      <c r="N80" s="2">
        <v>4.9649412006000002</v>
      </c>
      <c r="O80" s="2">
        <v>3.7400000000000002E-6</v>
      </c>
      <c r="P80" s="2">
        <v>4380269</v>
      </c>
      <c r="Q80" s="2">
        <v>146</v>
      </c>
    </row>
    <row r="81" spans="1:17" x14ac:dyDescent="0.25">
      <c r="A81" s="1">
        <v>43529</v>
      </c>
      <c r="B81" s="2">
        <v>232760526.99599999</v>
      </c>
      <c r="C81" s="2">
        <v>131640939.779</v>
      </c>
      <c r="D81" s="2">
        <v>14712</v>
      </c>
      <c r="E81" s="2">
        <v>2206317046.0700002</v>
      </c>
      <c r="F81" s="2">
        <v>124.96</v>
      </c>
      <c r="G81" s="2">
        <v>297746808</v>
      </c>
      <c r="H81" s="2">
        <v>5234286750.4099998</v>
      </c>
      <c r="I81" s="2">
        <v>1725</v>
      </c>
      <c r="J81" s="2">
        <v>0.37698026000000001</v>
      </c>
      <c r="K81" s="2">
        <v>33427</v>
      </c>
      <c r="L81" s="2">
        <v>199615895555</v>
      </c>
      <c r="M81" s="2">
        <v>31506</v>
      </c>
      <c r="N81" s="2">
        <v>5.6306976000000002E-2</v>
      </c>
      <c r="O81" s="2">
        <v>4.0600000000000001E-6</v>
      </c>
      <c r="P81" s="2">
        <v>7611696</v>
      </c>
      <c r="Q81" s="2">
        <v>138</v>
      </c>
    </row>
    <row r="82" spans="1:17" x14ac:dyDescent="0.25">
      <c r="A82" s="1">
        <v>43528</v>
      </c>
      <c r="B82" s="2">
        <v>262008955.82300001</v>
      </c>
      <c r="C82" s="2">
        <v>132384117.811</v>
      </c>
      <c r="D82" s="2">
        <v>9215</v>
      </c>
      <c r="E82" s="2">
        <v>2320215171.75</v>
      </c>
      <c r="F82" s="2">
        <v>131.41999999999999</v>
      </c>
      <c r="G82" s="2">
        <v>307511335</v>
      </c>
      <c r="H82" s="2">
        <v>5250194466.5799999</v>
      </c>
      <c r="I82" s="2">
        <v>1812.5</v>
      </c>
      <c r="J82" s="2">
        <v>0.33712727999999997</v>
      </c>
      <c r="K82" s="2">
        <v>20812</v>
      </c>
      <c r="L82" s="2">
        <v>198102023886</v>
      </c>
      <c r="M82" s="2">
        <v>13627</v>
      </c>
      <c r="N82" s="2">
        <v>4.7341229470000004</v>
      </c>
      <c r="O82" s="2">
        <v>4.0600000000000001E-6</v>
      </c>
      <c r="P82" s="2">
        <v>4647921</v>
      </c>
      <c r="Q82" s="2">
        <v>145</v>
      </c>
    </row>
    <row r="83" spans="1:17" x14ac:dyDescent="0.25">
      <c r="A83" s="1">
        <v>43527</v>
      </c>
      <c r="B83" s="2">
        <v>107734237.735</v>
      </c>
      <c r="C83" s="2">
        <v>78692704.562600002</v>
      </c>
      <c r="D83" s="2">
        <v>10544</v>
      </c>
      <c r="E83" s="2">
        <v>2340167578.5100002</v>
      </c>
      <c r="F83" s="2">
        <v>132.57</v>
      </c>
      <c r="G83" s="2">
        <v>202483597</v>
      </c>
      <c r="H83" s="2">
        <v>5256005281.6400003</v>
      </c>
      <c r="I83" s="2">
        <v>1850</v>
      </c>
      <c r="J83" s="2">
        <v>0.33346494999999998</v>
      </c>
      <c r="K83" s="2">
        <v>18696</v>
      </c>
      <c r="L83" s="2">
        <v>202357944308</v>
      </c>
      <c r="M83" s="2">
        <v>13313</v>
      </c>
      <c r="N83" s="2">
        <v>1.8696996693000001</v>
      </c>
      <c r="O83" s="2">
        <v>4.0600000000000001E-6</v>
      </c>
      <c r="P83" s="2">
        <v>5089726</v>
      </c>
      <c r="Q83" s="2">
        <v>148</v>
      </c>
    </row>
    <row r="84" spans="1:17" x14ac:dyDescent="0.25">
      <c r="A84" s="1">
        <v>43526</v>
      </c>
      <c r="B84" s="2">
        <v>175583635.787</v>
      </c>
      <c r="C84" s="2">
        <v>120108294.84900001</v>
      </c>
      <c r="D84" s="2">
        <v>10316</v>
      </c>
      <c r="E84" s="2">
        <v>2346139268.5100002</v>
      </c>
      <c r="F84" s="2">
        <v>132.91999999999999</v>
      </c>
      <c r="G84" s="2">
        <v>234304188</v>
      </c>
      <c r="H84" s="2">
        <v>5260050555.4099998</v>
      </c>
      <c r="I84" s="2">
        <v>1862.5</v>
      </c>
      <c r="J84" s="2">
        <v>0.32849989000000002</v>
      </c>
      <c r="K84" s="2">
        <v>20092</v>
      </c>
      <c r="L84" s="2">
        <v>200404263808</v>
      </c>
      <c r="M84" s="2">
        <v>13913</v>
      </c>
      <c r="N84" s="2">
        <v>2.2033882560000002</v>
      </c>
      <c r="O84" s="2">
        <v>3.8700000000000002E-6</v>
      </c>
      <c r="P84" s="2">
        <v>5045684</v>
      </c>
      <c r="Q84" s="2">
        <v>149</v>
      </c>
    </row>
    <row r="85" spans="1:17" x14ac:dyDescent="0.25">
      <c r="A85" s="1">
        <v>43525</v>
      </c>
      <c r="B85" s="2">
        <v>255767466.98100001</v>
      </c>
      <c r="C85" s="2">
        <v>160277184.898</v>
      </c>
      <c r="D85" s="2">
        <v>11778</v>
      </c>
      <c r="E85" s="2">
        <v>2331124497.9899998</v>
      </c>
      <c r="F85" s="2">
        <v>132.08000000000001</v>
      </c>
      <c r="G85" s="2">
        <v>240782300</v>
      </c>
      <c r="H85" s="2">
        <v>5261017677.6499996</v>
      </c>
      <c r="I85" s="2">
        <v>1762.5</v>
      </c>
      <c r="J85" s="2">
        <v>0.37972549</v>
      </c>
      <c r="K85" s="2">
        <v>22211</v>
      </c>
      <c r="L85" s="2">
        <v>203686890816</v>
      </c>
      <c r="M85" s="2">
        <v>15747</v>
      </c>
      <c r="N85" s="2">
        <v>2.1789356471999999</v>
      </c>
      <c r="O85" s="2">
        <v>3.8700000000000002E-6</v>
      </c>
      <c r="P85" s="2">
        <v>5577878</v>
      </c>
      <c r="Q85" s="2">
        <v>141</v>
      </c>
    </row>
    <row r="86" spans="1:17" x14ac:dyDescent="0.25">
      <c r="A86" s="1">
        <v>43524</v>
      </c>
      <c r="B86" s="2">
        <v>294060919.338</v>
      </c>
      <c r="C86" s="2">
        <v>135822817.928</v>
      </c>
      <c r="D86" s="2">
        <v>13688</v>
      </c>
      <c r="E86" s="2">
        <v>2345277397.4400001</v>
      </c>
      <c r="F86" s="2">
        <v>132.9</v>
      </c>
      <c r="G86" s="2">
        <v>281575851</v>
      </c>
      <c r="H86" s="2">
        <v>5262819976.8400002</v>
      </c>
      <c r="I86" s="2">
        <v>1750</v>
      </c>
      <c r="J86" s="2">
        <v>0.43467598000000002</v>
      </c>
      <c r="K86" s="2">
        <v>23122</v>
      </c>
      <c r="L86" s="2">
        <v>206315435712</v>
      </c>
      <c r="M86" s="2">
        <v>17004</v>
      </c>
      <c r="N86" s="2">
        <v>1.487852712</v>
      </c>
      <c r="O86" s="2">
        <v>4.0600000000000001E-6</v>
      </c>
      <c r="P86" s="2">
        <v>6611918</v>
      </c>
      <c r="Q86" s="2">
        <v>140</v>
      </c>
    </row>
    <row r="87" spans="1:17" x14ac:dyDescent="0.25">
      <c r="A87" s="1">
        <v>43523</v>
      </c>
      <c r="B87" s="2">
        <v>176275386.882</v>
      </c>
      <c r="C87" s="2">
        <v>111551996.80400001</v>
      </c>
      <c r="D87" s="2">
        <v>18102</v>
      </c>
      <c r="E87" s="2">
        <v>2370281472.1300001</v>
      </c>
      <c r="F87" s="2">
        <v>134.33000000000001</v>
      </c>
      <c r="G87" s="2">
        <v>291088410</v>
      </c>
      <c r="H87" s="2">
        <v>5269920486.0100002</v>
      </c>
      <c r="I87" s="2">
        <v>1712.5</v>
      </c>
      <c r="J87" s="2">
        <v>0.38779971000000002</v>
      </c>
      <c r="K87" s="2">
        <v>27777</v>
      </c>
      <c r="L87" s="2">
        <v>205365183794</v>
      </c>
      <c r="M87" s="2">
        <v>19746</v>
      </c>
      <c r="N87" s="2">
        <v>0.34980740970000002</v>
      </c>
      <c r="O87" s="2">
        <v>4.0600000000000001E-6</v>
      </c>
      <c r="P87" s="2">
        <v>8955723</v>
      </c>
      <c r="Q87" s="2">
        <v>137</v>
      </c>
    </row>
    <row r="88" spans="1:17" x14ac:dyDescent="0.25">
      <c r="A88" s="1">
        <v>43522</v>
      </c>
      <c r="B88" s="2">
        <v>306187988.72399998</v>
      </c>
      <c r="C88" s="2">
        <v>124572052.417</v>
      </c>
      <c r="D88" s="2">
        <v>13229</v>
      </c>
      <c r="E88" s="2">
        <v>2396793074.5300002</v>
      </c>
      <c r="F88" s="2">
        <v>135.84</v>
      </c>
      <c r="G88" s="2">
        <v>327672295</v>
      </c>
      <c r="H88" s="2">
        <v>5275292768.2799997</v>
      </c>
      <c r="I88" s="2">
        <v>1762.5</v>
      </c>
      <c r="J88" s="2">
        <v>0.40890788</v>
      </c>
      <c r="K88" s="2">
        <v>30144</v>
      </c>
      <c r="L88" s="2">
        <v>198445435975</v>
      </c>
      <c r="M88" s="2">
        <v>21971</v>
      </c>
      <c r="N88" s="2">
        <v>1.8962082192</v>
      </c>
      <c r="O88" s="2">
        <v>4.0600000000000001E-6</v>
      </c>
      <c r="P88" s="2">
        <v>6500186</v>
      </c>
      <c r="Q88" s="2">
        <v>141</v>
      </c>
    </row>
    <row r="89" spans="1:17" x14ac:dyDescent="0.25">
      <c r="A89" s="1">
        <v>43521</v>
      </c>
      <c r="B89" s="2">
        <v>383919374.46200001</v>
      </c>
      <c r="C89" s="2">
        <v>140592546.86700001</v>
      </c>
      <c r="D89" s="2">
        <v>13393</v>
      </c>
      <c r="E89" s="2">
        <v>2293799660.9699998</v>
      </c>
      <c r="F89" s="2">
        <v>130.02000000000001</v>
      </c>
      <c r="G89" s="2">
        <v>475080131</v>
      </c>
      <c r="H89" s="2">
        <v>5401972143.46</v>
      </c>
      <c r="I89" s="2">
        <v>1787.5</v>
      </c>
      <c r="J89" s="2">
        <v>0.46405183999999999</v>
      </c>
      <c r="K89" s="2">
        <v>25534</v>
      </c>
      <c r="L89" s="2">
        <v>204013260710</v>
      </c>
      <c r="M89" s="2">
        <v>20824</v>
      </c>
      <c r="N89" s="2">
        <v>2.1489627588000002</v>
      </c>
      <c r="O89" s="2">
        <v>4.0600000000000001E-6</v>
      </c>
      <c r="P89" s="2">
        <v>6527185</v>
      </c>
      <c r="Q89" s="2">
        <v>143</v>
      </c>
    </row>
    <row r="90" spans="1:17" x14ac:dyDescent="0.25">
      <c r="A90" s="1">
        <v>43520</v>
      </c>
      <c r="B90" s="2">
        <v>359198658.53600001</v>
      </c>
      <c r="C90" s="2">
        <v>177468860.36899999</v>
      </c>
      <c r="D90" s="2">
        <v>15461</v>
      </c>
      <c r="E90" s="2">
        <v>2720088716.1399999</v>
      </c>
      <c r="F90" s="2">
        <v>154.19999999999999</v>
      </c>
      <c r="G90" s="2">
        <v>556592899</v>
      </c>
      <c r="H90" s="2">
        <v>5401418344.8199997</v>
      </c>
      <c r="I90" s="2">
        <v>1825</v>
      </c>
      <c r="J90" s="2">
        <v>0.73344812999999998</v>
      </c>
      <c r="K90" s="2">
        <v>27233</v>
      </c>
      <c r="L90" s="2">
        <v>211209855807</v>
      </c>
      <c r="M90" s="2">
        <v>22326</v>
      </c>
      <c r="N90" s="2">
        <v>1.8234967259999999</v>
      </c>
      <c r="O90" s="2">
        <v>4.0600000000000001E-6</v>
      </c>
      <c r="P90" s="2">
        <v>7265128</v>
      </c>
      <c r="Q90" s="2">
        <v>146</v>
      </c>
    </row>
    <row r="91" spans="1:17" x14ac:dyDescent="0.25">
      <c r="A91" s="1">
        <v>43519</v>
      </c>
      <c r="B91" s="2">
        <v>239381261.92500001</v>
      </c>
      <c r="C91" s="2">
        <v>125189317.939</v>
      </c>
      <c r="D91" s="2">
        <v>12756</v>
      </c>
      <c r="E91" s="2">
        <v>2555400100.7399998</v>
      </c>
      <c r="F91" s="2">
        <v>144.88</v>
      </c>
      <c r="G91" s="2">
        <v>391092331</v>
      </c>
      <c r="H91" s="2">
        <v>5411563688.4399996</v>
      </c>
      <c r="I91" s="2">
        <v>1850</v>
      </c>
      <c r="J91" s="2">
        <v>0.34707967000000001</v>
      </c>
      <c r="K91" s="2">
        <v>23019</v>
      </c>
      <c r="L91" s="2">
        <v>196622128561</v>
      </c>
      <c r="M91" s="2">
        <v>16206</v>
      </c>
      <c r="N91" s="2">
        <v>1.5640071272</v>
      </c>
      <c r="O91" s="2">
        <v>3.9299999999999996E-6</v>
      </c>
      <c r="P91" s="2">
        <v>6007187</v>
      </c>
      <c r="Q91" s="2">
        <v>148</v>
      </c>
    </row>
    <row r="92" spans="1:17" x14ac:dyDescent="0.25">
      <c r="A92" s="1">
        <v>43518</v>
      </c>
      <c r="B92" s="2">
        <v>152948185.82300001</v>
      </c>
      <c r="C92" s="2">
        <v>113415661.223</v>
      </c>
      <c r="D92" s="2">
        <v>15081</v>
      </c>
      <c r="E92" s="2">
        <v>2518952136.04</v>
      </c>
      <c r="F92" s="2">
        <v>142.82</v>
      </c>
      <c r="G92" s="2">
        <v>321600349</v>
      </c>
      <c r="H92" s="2">
        <v>5411291390.0699997</v>
      </c>
      <c r="I92" s="2">
        <v>1762.5</v>
      </c>
      <c r="J92" s="2">
        <v>0.40593331999999999</v>
      </c>
      <c r="K92" s="2">
        <v>23435</v>
      </c>
      <c r="L92" s="2">
        <v>204962328659</v>
      </c>
      <c r="M92" s="2">
        <v>18525</v>
      </c>
      <c r="N92" s="2">
        <v>0.47373251179999998</v>
      </c>
      <c r="O92" s="2">
        <v>3.9299999999999996E-6</v>
      </c>
      <c r="P92" s="2">
        <v>6824813</v>
      </c>
      <c r="Q92" s="2">
        <v>141</v>
      </c>
    </row>
    <row r="93" spans="1:17" x14ac:dyDescent="0.25">
      <c r="A93" s="1">
        <v>43517</v>
      </c>
      <c r="B93" s="2">
        <v>347948935.95499998</v>
      </c>
      <c r="C93" s="2">
        <v>180107569.56799999</v>
      </c>
      <c r="D93" s="2">
        <v>13230</v>
      </c>
      <c r="E93" s="2">
        <v>2608517293.98</v>
      </c>
      <c r="F93" s="2">
        <v>147.91999999999999</v>
      </c>
      <c r="G93" s="2">
        <v>351951657</v>
      </c>
      <c r="H93" s="2">
        <v>5412201961.5600004</v>
      </c>
      <c r="I93" s="2">
        <v>1812.5</v>
      </c>
      <c r="J93" s="2">
        <v>0.49411962999999998</v>
      </c>
      <c r="K93" s="2">
        <v>24995</v>
      </c>
      <c r="L93" s="2">
        <v>210586259397</v>
      </c>
      <c r="M93" s="2">
        <v>20686</v>
      </c>
      <c r="N93" s="2">
        <v>1.9772140976000001</v>
      </c>
      <c r="O93" s="2">
        <v>4.0600000000000001E-6</v>
      </c>
      <c r="P93" s="2">
        <v>6877965</v>
      </c>
      <c r="Q93" s="2">
        <v>145</v>
      </c>
    </row>
    <row r="94" spans="1:17" x14ac:dyDescent="0.25">
      <c r="A94" s="1">
        <v>43516</v>
      </c>
      <c r="B94" s="2">
        <v>255799914.26499999</v>
      </c>
      <c r="C94" s="2">
        <v>101188401.546</v>
      </c>
      <c r="D94" s="2">
        <v>16157</v>
      </c>
      <c r="E94" s="2">
        <v>2521079432.6399999</v>
      </c>
      <c r="F94" s="2">
        <v>142.97</v>
      </c>
      <c r="G94" s="2">
        <v>402662737</v>
      </c>
      <c r="H94" s="2">
        <v>5413560808.96</v>
      </c>
      <c r="I94" s="2">
        <v>1800</v>
      </c>
      <c r="J94" s="2">
        <v>0.50614771000000003</v>
      </c>
      <c r="K94" s="2">
        <v>25478</v>
      </c>
      <c r="L94" s="2">
        <v>213215029575</v>
      </c>
      <c r="M94" s="2">
        <v>22000</v>
      </c>
      <c r="N94" s="2">
        <v>0.51376269500000005</v>
      </c>
      <c r="O94" s="2">
        <v>3.9099999999999998E-6</v>
      </c>
      <c r="P94" s="2">
        <v>7286618</v>
      </c>
      <c r="Q94" s="2">
        <v>144</v>
      </c>
    </row>
    <row r="95" spans="1:17" x14ac:dyDescent="0.25">
      <c r="A95" s="1">
        <v>43515</v>
      </c>
      <c r="B95" s="2">
        <v>314978652.58099997</v>
      </c>
      <c r="C95" s="2">
        <v>144797099.502</v>
      </c>
      <c r="D95" s="2">
        <v>19937</v>
      </c>
      <c r="E95" s="2">
        <v>2544448796.1599998</v>
      </c>
      <c r="F95" s="2">
        <v>144.31</v>
      </c>
      <c r="G95" s="2">
        <v>557033470</v>
      </c>
      <c r="H95" s="2">
        <v>5412727191.1700001</v>
      </c>
      <c r="I95" s="2">
        <v>1875</v>
      </c>
      <c r="J95" s="2">
        <v>0.54764005000000004</v>
      </c>
      <c r="K95" s="2">
        <v>30239</v>
      </c>
      <c r="L95" s="2">
        <v>210788498362</v>
      </c>
      <c r="M95" s="2">
        <v>23750</v>
      </c>
      <c r="N95" s="2">
        <v>2.8861999999999998E-3</v>
      </c>
      <c r="O95" s="2">
        <v>3.7500000000000001E-6</v>
      </c>
      <c r="P95" s="2">
        <v>9669613</v>
      </c>
      <c r="Q95" s="2">
        <v>150</v>
      </c>
    </row>
    <row r="96" spans="1:17" x14ac:dyDescent="0.25">
      <c r="A96" s="1">
        <v>43514</v>
      </c>
      <c r="B96" s="2">
        <v>364711335.69599998</v>
      </c>
      <c r="C96" s="2">
        <v>177019591.41499999</v>
      </c>
      <c r="D96" s="2">
        <v>17796</v>
      </c>
      <c r="E96" s="2">
        <v>2203084255.21</v>
      </c>
      <c r="F96" s="2">
        <v>124.97</v>
      </c>
      <c r="G96" s="2">
        <v>685321231</v>
      </c>
      <c r="H96" s="2">
        <v>5416792229.3599997</v>
      </c>
      <c r="I96" s="2">
        <v>1862.5</v>
      </c>
      <c r="J96" s="2">
        <v>0.49997342</v>
      </c>
      <c r="K96" s="2">
        <v>30373</v>
      </c>
      <c r="L96" s="2">
        <v>202127080233</v>
      </c>
      <c r="M96" s="2">
        <v>22269</v>
      </c>
      <c r="N96" s="2">
        <v>1.2097670862000001</v>
      </c>
      <c r="O96" s="2">
        <v>3.7500000000000001E-6</v>
      </c>
      <c r="P96" s="2">
        <v>8223792</v>
      </c>
      <c r="Q96" s="2">
        <v>149</v>
      </c>
    </row>
    <row r="97" spans="1:17" x14ac:dyDescent="0.25">
      <c r="A97" s="1">
        <v>43513</v>
      </c>
      <c r="B97" s="2">
        <v>195130071.065</v>
      </c>
      <c r="C97" s="2">
        <v>109299588.15099999</v>
      </c>
      <c r="D97" s="2">
        <v>9351</v>
      </c>
      <c r="E97" s="2">
        <v>2154545519.1599998</v>
      </c>
      <c r="F97" s="2">
        <v>122.23</v>
      </c>
      <c r="G97" s="2">
        <v>230868433</v>
      </c>
      <c r="H97" s="2">
        <v>5412445629.9499998</v>
      </c>
      <c r="I97" s="2">
        <v>1825</v>
      </c>
      <c r="J97" s="2">
        <v>0.36281841999999997</v>
      </c>
      <c r="K97" s="2">
        <v>19940</v>
      </c>
      <c r="L97" s="2">
        <v>196855195876</v>
      </c>
      <c r="M97" s="2">
        <v>12998</v>
      </c>
      <c r="N97" s="2">
        <v>2.5456023159000001</v>
      </c>
      <c r="O97" s="2">
        <v>3.8999999999999999E-6</v>
      </c>
      <c r="P97" s="2">
        <v>4237107</v>
      </c>
      <c r="Q97" s="2">
        <v>146</v>
      </c>
    </row>
    <row r="98" spans="1:17" x14ac:dyDescent="0.25">
      <c r="A98" s="1">
        <v>43512</v>
      </c>
      <c r="B98" s="2">
        <v>186994986.90000001</v>
      </c>
      <c r="C98" s="2">
        <v>92996248.3046</v>
      </c>
      <c r="D98" s="2">
        <v>9003</v>
      </c>
      <c r="E98" s="2">
        <v>2150527715.9299998</v>
      </c>
      <c r="F98" s="2">
        <v>122.01</v>
      </c>
      <c r="G98" s="2">
        <v>191430981</v>
      </c>
      <c r="H98" s="2">
        <v>5413697691.8299999</v>
      </c>
      <c r="I98" s="2">
        <v>1700</v>
      </c>
      <c r="J98" s="2">
        <v>0.34132600000000002</v>
      </c>
      <c r="K98" s="2">
        <v>19882</v>
      </c>
      <c r="L98" s="2">
        <v>200042562622</v>
      </c>
      <c r="M98" s="2">
        <v>12467</v>
      </c>
      <c r="N98" s="2">
        <v>2.2990417505999998</v>
      </c>
      <c r="O98" s="2">
        <v>3.9099999999999998E-6</v>
      </c>
      <c r="P98" s="2">
        <v>3988156</v>
      </c>
      <c r="Q98" s="2">
        <v>136</v>
      </c>
    </row>
    <row r="99" spans="1:17" x14ac:dyDescent="0.25">
      <c r="A99" s="1">
        <v>43511</v>
      </c>
      <c r="B99" s="2">
        <v>237267754.794</v>
      </c>
      <c r="C99" s="2">
        <v>118976237.51800001</v>
      </c>
      <c r="D99" s="2">
        <v>14065</v>
      </c>
      <c r="E99" s="2">
        <v>2153328809.3000002</v>
      </c>
      <c r="F99" s="2">
        <v>122.18</v>
      </c>
      <c r="G99" s="2">
        <v>197273460</v>
      </c>
      <c r="H99" s="2">
        <v>5417246754.6599998</v>
      </c>
      <c r="I99" s="2">
        <v>1762.5</v>
      </c>
      <c r="J99" s="2">
        <v>0.50688604999999998</v>
      </c>
      <c r="K99" s="2">
        <v>27434</v>
      </c>
      <c r="L99" s="2">
        <v>200430341179</v>
      </c>
      <c r="M99" s="2">
        <v>17736</v>
      </c>
      <c r="N99" s="2">
        <v>0.71474322560000003</v>
      </c>
      <c r="O99" s="2">
        <v>3.9099999999999998E-6</v>
      </c>
      <c r="P99" s="2">
        <v>6736587</v>
      </c>
      <c r="Q99" s="2">
        <v>141</v>
      </c>
    </row>
    <row r="100" spans="1:17" x14ac:dyDescent="0.25">
      <c r="A100" s="1">
        <v>43510</v>
      </c>
      <c r="B100" s="2">
        <v>226829887.97999999</v>
      </c>
      <c r="C100" s="2">
        <v>74664413.272300005</v>
      </c>
      <c r="D100" s="2">
        <v>20499</v>
      </c>
      <c r="E100" s="2">
        <v>2169649757.6500001</v>
      </c>
      <c r="F100" s="2">
        <v>123.12</v>
      </c>
      <c r="G100" s="2">
        <v>242536735</v>
      </c>
      <c r="H100" s="2">
        <v>5431894844.1000004</v>
      </c>
      <c r="I100" s="2">
        <v>1787.5</v>
      </c>
      <c r="J100" s="2">
        <v>0.32924820999999999</v>
      </c>
      <c r="K100" s="2">
        <v>33417</v>
      </c>
      <c r="L100" s="2">
        <v>198976791166</v>
      </c>
      <c r="M100" s="2">
        <v>23385</v>
      </c>
      <c r="N100" s="2">
        <v>1.2312E-2</v>
      </c>
      <c r="O100" s="2">
        <v>3.9099999999999998E-6</v>
      </c>
      <c r="P100" s="2">
        <v>8756526</v>
      </c>
      <c r="Q100" s="2">
        <v>143</v>
      </c>
    </row>
    <row r="101" spans="1:17" x14ac:dyDescent="0.25">
      <c r="A101" s="1">
        <v>43509</v>
      </c>
      <c r="B101" s="2">
        <v>180876867.743</v>
      </c>
      <c r="C101" s="2">
        <v>97085470.096300006</v>
      </c>
      <c r="D101" s="2">
        <v>27671</v>
      </c>
      <c r="E101" s="2">
        <v>2174055053.4000001</v>
      </c>
      <c r="F101" s="2">
        <v>123.38</v>
      </c>
      <c r="G101" s="2">
        <v>228141043</v>
      </c>
      <c r="H101" s="2">
        <v>5438197751.3900003</v>
      </c>
      <c r="I101" s="2">
        <v>1900</v>
      </c>
      <c r="J101" s="2">
        <v>0.63752116000000003</v>
      </c>
      <c r="K101" s="2">
        <v>40796</v>
      </c>
      <c r="L101" s="2">
        <v>205082999630</v>
      </c>
      <c r="M101" s="2">
        <v>34208</v>
      </c>
      <c r="N101" s="2">
        <v>1.3707518E-3</v>
      </c>
      <c r="O101" s="2">
        <v>3.9099999999999998E-6</v>
      </c>
      <c r="P101" s="2">
        <v>11875226</v>
      </c>
      <c r="Q101" s="2">
        <v>152</v>
      </c>
    </row>
    <row r="102" spans="1:17" x14ac:dyDescent="0.25">
      <c r="A102" s="1">
        <v>43508</v>
      </c>
      <c r="B102" s="2">
        <v>205316511.96399999</v>
      </c>
      <c r="C102" s="2">
        <v>110845690.13</v>
      </c>
      <c r="D102" s="2">
        <v>16667</v>
      </c>
      <c r="E102" s="2">
        <v>2158548854.5599999</v>
      </c>
      <c r="F102" s="2">
        <v>122.52</v>
      </c>
      <c r="G102" s="2">
        <v>236077048</v>
      </c>
      <c r="H102" s="2">
        <v>5444526580.9499998</v>
      </c>
      <c r="I102" s="2">
        <v>1750</v>
      </c>
      <c r="J102" s="2">
        <v>0.57458971999999997</v>
      </c>
      <c r="K102" s="2">
        <v>25437</v>
      </c>
      <c r="L102" s="2">
        <v>193123271875</v>
      </c>
      <c r="M102" s="2">
        <v>17581</v>
      </c>
      <c r="N102" s="2">
        <v>1.566638736</v>
      </c>
      <c r="O102" s="2">
        <v>2.7999999999999999E-6</v>
      </c>
      <c r="P102" s="2">
        <v>6451987</v>
      </c>
      <c r="Q102" s="2">
        <v>140</v>
      </c>
    </row>
    <row r="103" spans="1:17" x14ac:dyDescent="0.25">
      <c r="A103" s="1">
        <v>43507</v>
      </c>
      <c r="B103" s="2">
        <v>268589175.171</v>
      </c>
      <c r="C103" s="2">
        <v>126412002.31999999</v>
      </c>
      <c r="D103" s="2">
        <v>8770</v>
      </c>
      <c r="E103" s="2">
        <v>2249525238.29</v>
      </c>
      <c r="F103" s="2">
        <v>127.69</v>
      </c>
      <c r="G103" s="2">
        <v>282031883</v>
      </c>
      <c r="H103" s="2">
        <v>5452144398.8699999</v>
      </c>
      <c r="I103" s="2">
        <v>1725</v>
      </c>
      <c r="J103" s="2">
        <v>0.36010681</v>
      </c>
      <c r="K103" s="2">
        <v>20077</v>
      </c>
      <c r="L103" s="2">
        <v>195819923396</v>
      </c>
      <c r="M103" s="2">
        <v>12741</v>
      </c>
      <c r="N103" s="2">
        <v>3.7848005526000001</v>
      </c>
      <c r="O103" s="2">
        <v>3.7900000000000001E-6</v>
      </c>
      <c r="P103" s="2">
        <v>4336161</v>
      </c>
      <c r="Q103" s="2">
        <v>138</v>
      </c>
    </row>
    <row r="104" spans="1:17" x14ac:dyDescent="0.25">
      <c r="A104" s="1">
        <v>43506</v>
      </c>
      <c r="B104" s="2">
        <v>209962129.801</v>
      </c>
      <c r="C104" s="2">
        <v>79553684.596300006</v>
      </c>
      <c r="D104" s="2">
        <v>8534</v>
      </c>
      <c r="E104" s="2">
        <v>2265770505.4400001</v>
      </c>
      <c r="F104" s="2">
        <v>128.63</v>
      </c>
      <c r="G104" s="2">
        <v>285347998</v>
      </c>
      <c r="H104" s="2">
        <v>5466848155.4799995</v>
      </c>
      <c r="I104" s="2">
        <v>1812.5</v>
      </c>
      <c r="J104" s="2">
        <v>0.39263942000000002</v>
      </c>
      <c r="K104" s="2">
        <v>20627</v>
      </c>
      <c r="L104" s="2">
        <v>194686829384</v>
      </c>
      <c r="M104" s="2">
        <v>13103</v>
      </c>
      <c r="N104" s="2">
        <v>6.0526743596000001</v>
      </c>
      <c r="O104" s="2">
        <v>3.7900000000000001E-6</v>
      </c>
      <c r="P104" s="2">
        <v>3950907</v>
      </c>
      <c r="Q104" s="2">
        <v>145</v>
      </c>
    </row>
    <row r="105" spans="1:17" x14ac:dyDescent="0.25">
      <c r="A105" s="1">
        <v>43505</v>
      </c>
      <c r="B105" s="2">
        <v>186478922.15700001</v>
      </c>
      <c r="C105" s="2">
        <v>108064867.398</v>
      </c>
      <c r="D105" s="2">
        <v>9936</v>
      </c>
      <c r="E105" s="2">
        <v>2288525310.3200002</v>
      </c>
      <c r="F105" s="2">
        <v>129.93</v>
      </c>
      <c r="G105" s="2">
        <v>233478378</v>
      </c>
      <c r="H105" s="2">
        <v>5470578636.6400003</v>
      </c>
      <c r="I105" s="2">
        <v>1812.5</v>
      </c>
      <c r="J105" s="2">
        <v>0.23986471000000001</v>
      </c>
      <c r="K105" s="2">
        <v>21899</v>
      </c>
      <c r="L105" s="2">
        <v>190917715593</v>
      </c>
      <c r="M105" s="2">
        <v>13174</v>
      </c>
      <c r="N105" s="2">
        <v>2.7197246438999998</v>
      </c>
      <c r="O105" s="2">
        <v>2.7999999999999999E-6</v>
      </c>
      <c r="P105" s="2">
        <v>4258437</v>
      </c>
      <c r="Q105" s="2">
        <v>145</v>
      </c>
    </row>
    <row r="106" spans="1:17" x14ac:dyDescent="0.25">
      <c r="A106" s="1">
        <v>43504</v>
      </c>
      <c r="B106" s="2">
        <v>251907922.414</v>
      </c>
      <c r="C106" s="2">
        <v>112538414.95299999</v>
      </c>
      <c r="D106" s="2">
        <v>10038</v>
      </c>
      <c r="E106" s="2">
        <v>2039089541.3</v>
      </c>
      <c r="F106" s="2">
        <v>115.78</v>
      </c>
      <c r="G106" s="2">
        <v>392818315</v>
      </c>
      <c r="H106" s="2">
        <v>5473154916.6199999</v>
      </c>
      <c r="I106" s="2">
        <v>1925</v>
      </c>
      <c r="J106" s="2">
        <v>0.32976065999999998</v>
      </c>
      <c r="K106" s="2">
        <v>21925</v>
      </c>
      <c r="L106" s="2">
        <v>193246407613</v>
      </c>
      <c r="M106" s="2">
        <v>13638</v>
      </c>
      <c r="N106" s="2">
        <v>4.1605288284000004</v>
      </c>
      <c r="O106" s="2">
        <v>3.8999999999999999E-6</v>
      </c>
      <c r="P106" s="2">
        <v>4920884</v>
      </c>
      <c r="Q106" s="2">
        <v>154</v>
      </c>
    </row>
    <row r="107" spans="1:17" x14ac:dyDescent="0.25">
      <c r="A107" s="1">
        <v>43503</v>
      </c>
      <c r="B107" s="2">
        <v>308420768.40700001</v>
      </c>
      <c r="C107" s="2">
        <v>151444296.43000001</v>
      </c>
      <c r="D107" s="2">
        <v>9712</v>
      </c>
      <c r="E107" s="2">
        <v>2028268731.7</v>
      </c>
      <c r="F107" s="2">
        <v>115.18</v>
      </c>
      <c r="G107" s="2">
        <v>192007562</v>
      </c>
      <c r="H107" s="2">
        <v>5474309403.54</v>
      </c>
      <c r="I107" s="2">
        <v>1662.5</v>
      </c>
      <c r="J107" s="2">
        <v>0.36141057999999998</v>
      </c>
      <c r="K107" s="2">
        <v>20311</v>
      </c>
      <c r="L107" s="2">
        <v>201146971114</v>
      </c>
      <c r="M107" s="2">
        <v>13214</v>
      </c>
      <c r="N107" s="2">
        <v>3.4606360827999998</v>
      </c>
      <c r="O107" s="2">
        <v>3.8500000000000004E-6</v>
      </c>
      <c r="P107" s="2">
        <v>4572071</v>
      </c>
      <c r="Q107" s="2">
        <v>133</v>
      </c>
    </row>
    <row r="108" spans="1:17" x14ac:dyDescent="0.25">
      <c r="A108" s="1">
        <v>43502</v>
      </c>
      <c r="B108" s="2">
        <v>255968123.41999999</v>
      </c>
      <c r="C108" s="2">
        <v>109122313.56299999</v>
      </c>
      <c r="D108" s="2">
        <v>10569</v>
      </c>
      <c r="E108" s="2">
        <v>2077439678.52</v>
      </c>
      <c r="F108" s="2">
        <v>117.98</v>
      </c>
      <c r="G108" s="2">
        <v>289253747</v>
      </c>
      <c r="H108" s="2">
        <v>5481098462.3400002</v>
      </c>
      <c r="I108" s="2">
        <v>1762.5</v>
      </c>
      <c r="J108" s="2">
        <v>0.51535301</v>
      </c>
      <c r="K108" s="2">
        <v>23466</v>
      </c>
      <c r="L108" s="2">
        <v>198423224832</v>
      </c>
      <c r="M108" s="2">
        <v>15122</v>
      </c>
      <c r="N108" s="2">
        <v>7.5383840111999998</v>
      </c>
      <c r="O108" s="2">
        <v>3.8999999999999999E-6</v>
      </c>
      <c r="P108" s="2">
        <v>5570652</v>
      </c>
      <c r="Q108" s="2">
        <v>141</v>
      </c>
    </row>
    <row r="109" spans="1:17" x14ac:dyDescent="0.25">
      <c r="A109" s="1">
        <v>43501</v>
      </c>
      <c r="B109" s="2">
        <v>255277970.75099999</v>
      </c>
      <c r="C109" s="2">
        <v>56514153.7641</v>
      </c>
      <c r="D109" s="2">
        <v>7536</v>
      </c>
      <c r="E109" s="2">
        <v>2095678601.9100001</v>
      </c>
      <c r="F109" s="2">
        <v>119.03</v>
      </c>
      <c r="G109" s="2">
        <v>205839408</v>
      </c>
      <c r="H109" s="2">
        <v>5487981347.9099998</v>
      </c>
      <c r="I109" s="2">
        <v>1812.5</v>
      </c>
      <c r="J109" s="2">
        <v>0.33747132000000002</v>
      </c>
      <c r="K109" s="2">
        <v>19730</v>
      </c>
      <c r="L109" s="2">
        <v>192706315557</v>
      </c>
      <c r="M109" s="2">
        <v>11054</v>
      </c>
      <c r="N109" s="2">
        <v>10.2383904463</v>
      </c>
      <c r="O109" s="2">
        <v>4.42E-6</v>
      </c>
      <c r="P109" s="2">
        <v>3906568</v>
      </c>
      <c r="Q109" s="2">
        <v>145</v>
      </c>
    </row>
    <row r="110" spans="1:17" x14ac:dyDescent="0.25">
      <c r="A110" s="1">
        <v>43500</v>
      </c>
      <c r="B110" s="2">
        <v>277644494.93699998</v>
      </c>
      <c r="C110" s="2">
        <v>72412634.282399997</v>
      </c>
      <c r="D110" s="2">
        <v>8526</v>
      </c>
      <c r="E110" s="2">
        <v>2100277177.02</v>
      </c>
      <c r="F110" s="2">
        <v>119.3</v>
      </c>
      <c r="G110" s="2">
        <v>207822688</v>
      </c>
      <c r="H110" s="2">
        <v>5491540388.29</v>
      </c>
      <c r="I110" s="2">
        <v>1875</v>
      </c>
      <c r="J110" s="2">
        <v>0.25563647</v>
      </c>
      <c r="K110" s="2">
        <v>20417</v>
      </c>
      <c r="L110" s="2">
        <v>189329065350</v>
      </c>
      <c r="M110" s="2">
        <v>12351</v>
      </c>
      <c r="N110" s="2">
        <v>10.168769328</v>
      </c>
      <c r="O110" s="2">
        <v>4.5399999999999997E-6</v>
      </c>
      <c r="P110" s="2">
        <v>3988631</v>
      </c>
      <c r="Q110" s="2">
        <v>150</v>
      </c>
    </row>
    <row r="111" spans="1:17" x14ac:dyDescent="0.25">
      <c r="A111" s="1">
        <v>43499</v>
      </c>
      <c r="B111" s="2">
        <v>282336638.18199998</v>
      </c>
      <c r="C111" s="2">
        <v>103854900.27599999</v>
      </c>
      <c r="D111" s="2">
        <v>8468</v>
      </c>
      <c r="E111" s="2">
        <v>2143765969.95</v>
      </c>
      <c r="F111" s="2">
        <v>121.79</v>
      </c>
      <c r="G111" s="2">
        <v>218977856</v>
      </c>
      <c r="H111" s="2">
        <v>5493874093.1099997</v>
      </c>
      <c r="I111" s="2">
        <v>1737.5</v>
      </c>
      <c r="J111" s="2">
        <v>0.24285570000000001</v>
      </c>
      <c r="K111" s="2">
        <v>21006</v>
      </c>
      <c r="L111" s="2">
        <v>200481189388</v>
      </c>
      <c r="M111" s="2">
        <v>12559</v>
      </c>
      <c r="N111" s="2">
        <v>11.356923589499999</v>
      </c>
      <c r="O111" s="2">
        <v>3.7900000000000001E-6</v>
      </c>
      <c r="P111" s="2">
        <v>3965918</v>
      </c>
      <c r="Q111" s="2">
        <v>139</v>
      </c>
    </row>
    <row r="112" spans="1:17" x14ac:dyDescent="0.25">
      <c r="A112" s="1">
        <v>43498</v>
      </c>
      <c r="B112" s="2">
        <v>226128177.917</v>
      </c>
      <c r="C112" s="2">
        <v>90297579.886800006</v>
      </c>
      <c r="D112" s="2">
        <v>9067</v>
      </c>
      <c r="E112" s="2">
        <v>2051367676.1500001</v>
      </c>
      <c r="F112" s="2">
        <v>116.55</v>
      </c>
      <c r="G112" s="2">
        <v>251181380</v>
      </c>
      <c r="H112" s="2">
        <v>5499128842.0699997</v>
      </c>
      <c r="I112" s="2">
        <v>1812.5</v>
      </c>
      <c r="J112" s="2">
        <v>0.31640446</v>
      </c>
      <c r="K112" s="2">
        <v>22300</v>
      </c>
      <c r="L112" s="2">
        <v>189440810933</v>
      </c>
      <c r="M112" s="2">
        <v>13856</v>
      </c>
      <c r="N112" s="2">
        <v>7.2749880630000003</v>
      </c>
      <c r="O112" s="2">
        <v>3.8999999999999999E-6</v>
      </c>
      <c r="P112" s="2">
        <v>4292487</v>
      </c>
      <c r="Q112" s="2">
        <v>145</v>
      </c>
    </row>
    <row r="113" spans="1:17" x14ac:dyDescent="0.25">
      <c r="A113" s="1">
        <v>43497</v>
      </c>
      <c r="B113" s="2">
        <v>337038413.53399998</v>
      </c>
      <c r="C113" s="2">
        <v>102494580.061</v>
      </c>
      <c r="D113" s="2">
        <v>9788</v>
      </c>
      <c r="E113" s="2">
        <v>2020292693.5999999</v>
      </c>
      <c r="F113" s="2">
        <v>114.8</v>
      </c>
      <c r="G113" s="2">
        <v>246917441</v>
      </c>
      <c r="H113" s="2">
        <v>5499924245.9499998</v>
      </c>
      <c r="I113" s="2">
        <v>1850</v>
      </c>
      <c r="J113" s="2">
        <v>0.32546402000000002</v>
      </c>
      <c r="K113" s="2">
        <v>22610</v>
      </c>
      <c r="L113" s="2">
        <v>190391859167</v>
      </c>
      <c r="M113" s="2">
        <v>13930</v>
      </c>
      <c r="N113" s="2">
        <v>6.8404682079999999</v>
      </c>
      <c r="O113" s="2">
        <v>4.8600000000000001E-6</v>
      </c>
      <c r="P113" s="2">
        <v>4666871</v>
      </c>
      <c r="Q113" s="2">
        <v>148</v>
      </c>
    </row>
    <row r="114" spans="1:17" x14ac:dyDescent="0.25">
      <c r="A114" s="1">
        <v>43496</v>
      </c>
      <c r="B114" s="2">
        <v>498514936.16399997</v>
      </c>
      <c r="C114" s="2">
        <v>151562929.25299999</v>
      </c>
      <c r="D114" s="2">
        <v>9536</v>
      </c>
      <c r="E114" s="2">
        <v>2079267925.6099999</v>
      </c>
      <c r="F114" s="2">
        <v>118.16</v>
      </c>
      <c r="G114" s="2">
        <v>277744299</v>
      </c>
      <c r="H114" s="2">
        <v>5503727169.6999998</v>
      </c>
      <c r="I114" s="2">
        <v>1787.5</v>
      </c>
      <c r="J114" s="2">
        <v>0.41642128</v>
      </c>
      <c r="K114" s="2">
        <v>22123</v>
      </c>
      <c r="L114" s="2">
        <v>193353344751</v>
      </c>
      <c r="M114" s="2">
        <v>13387</v>
      </c>
      <c r="N114" s="2">
        <v>7.0990953375999997</v>
      </c>
      <c r="O114" s="2">
        <v>4.8600000000000001E-6</v>
      </c>
      <c r="P114" s="2">
        <v>5280252</v>
      </c>
      <c r="Q114" s="2">
        <v>143</v>
      </c>
    </row>
    <row r="115" spans="1:17" x14ac:dyDescent="0.25">
      <c r="A115" s="1">
        <v>43495</v>
      </c>
      <c r="B115" s="2">
        <v>469662161.85500002</v>
      </c>
      <c r="C115" s="2">
        <v>128611657.933</v>
      </c>
      <c r="D115" s="2">
        <v>9926</v>
      </c>
      <c r="E115" s="2">
        <v>1952386669.4200001</v>
      </c>
      <c r="F115" s="2">
        <v>110.96</v>
      </c>
      <c r="G115" s="2">
        <v>278213607</v>
      </c>
      <c r="H115" s="2">
        <v>5516684359.5699997</v>
      </c>
      <c r="I115" s="2">
        <v>1787.5</v>
      </c>
      <c r="J115" s="2">
        <v>0.48049714999999998</v>
      </c>
      <c r="K115" s="2">
        <v>24460</v>
      </c>
      <c r="L115" s="2">
        <v>183476149578</v>
      </c>
      <c r="M115" s="2">
        <v>14909</v>
      </c>
      <c r="N115" s="2">
        <v>4.8487733543999996</v>
      </c>
      <c r="O115" s="2">
        <v>4.5399999999999997E-6</v>
      </c>
      <c r="P115" s="2">
        <v>5768502</v>
      </c>
      <c r="Q115" s="2">
        <v>143</v>
      </c>
    </row>
    <row r="116" spans="1:17" x14ac:dyDescent="0.25">
      <c r="A116" s="1">
        <v>43494</v>
      </c>
      <c r="B116" s="2">
        <v>365132873.11199999</v>
      </c>
      <c r="C116" s="2">
        <v>114770441.521</v>
      </c>
      <c r="D116" s="2">
        <v>13005</v>
      </c>
      <c r="E116" s="2">
        <v>1974871407.6700001</v>
      </c>
      <c r="F116" s="2">
        <v>112.25</v>
      </c>
      <c r="G116" s="2">
        <v>263554927</v>
      </c>
      <c r="H116" s="2">
        <v>5517325398.1899996</v>
      </c>
      <c r="I116" s="2">
        <v>1837.5</v>
      </c>
      <c r="J116" s="2">
        <v>0.35275254</v>
      </c>
      <c r="K116" s="2">
        <v>24863</v>
      </c>
      <c r="L116" s="2">
        <v>184518555420</v>
      </c>
      <c r="M116" s="2">
        <v>13229</v>
      </c>
      <c r="N116" s="2">
        <v>0.32263119499999998</v>
      </c>
      <c r="O116" s="2">
        <v>2.6000000000000001E-6</v>
      </c>
      <c r="P116" s="2">
        <v>5788132</v>
      </c>
      <c r="Q116" s="2">
        <v>147</v>
      </c>
    </row>
    <row r="117" spans="1:17" x14ac:dyDescent="0.25">
      <c r="A117" s="1">
        <v>43493</v>
      </c>
      <c r="B117" s="2">
        <v>316557117.472</v>
      </c>
      <c r="C117" s="2">
        <v>181276989.55700001</v>
      </c>
      <c r="D117" s="2">
        <v>9337</v>
      </c>
      <c r="E117" s="2">
        <v>2164394743.54</v>
      </c>
      <c r="F117" s="2">
        <v>123.04</v>
      </c>
      <c r="G117" s="2">
        <v>322496467</v>
      </c>
      <c r="H117" s="2">
        <v>5524820808.1099997</v>
      </c>
      <c r="I117" s="2">
        <v>1725</v>
      </c>
      <c r="J117" s="2">
        <v>0.53359690999999998</v>
      </c>
      <c r="K117" s="2">
        <v>23444</v>
      </c>
      <c r="L117" s="2">
        <v>190306755931</v>
      </c>
      <c r="M117" s="2">
        <v>14289</v>
      </c>
      <c r="N117" s="2">
        <v>10.288757369600001</v>
      </c>
      <c r="O117" s="2">
        <v>4.8600000000000001E-6</v>
      </c>
      <c r="P117" s="2">
        <v>4573597</v>
      </c>
      <c r="Q117" s="2">
        <v>138</v>
      </c>
    </row>
    <row r="118" spans="1:17" x14ac:dyDescent="0.25">
      <c r="A118" s="1">
        <v>43492</v>
      </c>
      <c r="B118" s="2">
        <v>149204373.29800001</v>
      </c>
      <c r="C118" s="2">
        <v>75203100.6963</v>
      </c>
      <c r="D118" s="2">
        <v>8051</v>
      </c>
      <c r="E118" s="2">
        <v>2236750184.8000002</v>
      </c>
      <c r="F118" s="2">
        <v>127.16</v>
      </c>
      <c r="G118" s="2">
        <v>201627687</v>
      </c>
      <c r="H118" s="2">
        <v>5549103993.1099997</v>
      </c>
      <c r="I118" s="2">
        <v>1812.5</v>
      </c>
      <c r="J118" s="2">
        <v>0.42771208999999999</v>
      </c>
      <c r="K118" s="2">
        <v>19408</v>
      </c>
      <c r="L118" s="2">
        <v>192143760626</v>
      </c>
      <c r="M118" s="2">
        <v>11767</v>
      </c>
      <c r="N118" s="2">
        <v>6.4062419608000001</v>
      </c>
      <c r="O118" s="2">
        <v>4.2799999999999997E-6</v>
      </c>
      <c r="P118" s="2">
        <v>3744582</v>
      </c>
      <c r="Q118" s="2">
        <v>145</v>
      </c>
    </row>
    <row r="119" spans="1:17" x14ac:dyDescent="0.25">
      <c r="A119" s="1">
        <v>43491</v>
      </c>
      <c r="B119" s="2">
        <v>245271833.36300001</v>
      </c>
      <c r="C119" s="2">
        <v>107804087.00300001</v>
      </c>
      <c r="D119" s="2">
        <v>8009</v>
      </c>
      <c r="E119" s="2">
        <v>2259006469.96</v>
      </c>
      <c r="F119" s="2">
        <v>128.44</v>
      </c>
      <c r="G119" s="2">
        <v>178570796</v>
      </c>
      <c r="H119" s="2">
        <v>5552228125.6099997</v>
      </c>
      <c r="I119" s="2">
        <v>1850</v>
      </c>
      <c r="J119" s="2">
        <v>0.43680124999999997</v>
      </c>
      <c r="K119" s="2">
        <v>20147</v>
      </c>
      <c r="L119" s="2">
        <v>194678061797</v>
      </c>
      <c r="M119" s="2">
        <v>11177</v>
      </c>
      <c r="N119" s="2">
        <v>5.7905992352000002</v>
      </c>
      <c r="O119" s="2">
        <v>4.8999999999999997E-6</v>
      </c>
      <c r="P119" s="2">
        <v>4531555</v>
      </c>
      <c r="Q119" s="2">
        <v>148</v>
      </c>
    </row>
    <row r="120" spans="1:17" x14ac:dyDescent="0.25">
      <c r="A120" s="1">
        <v>43490</v>
      </c>
      <c r="B120" s="2">
        <v>421304820.40799999</v>
      </c>
      <c r="C120" s="2">
        <v>75935590.018999994</v>
      </c>
      <c r="D120" s="2">
        <v>10582</v>
      </c>
      <c r="E120" s="2">
        <v>2277775976.8000002</v>
      </c>
      <c r="F120" s="2">
        <v>129.52000000000001</v>
      </c>
      <c r="G120" s="2">
        <v>205641444</v>
      </c>
      <c r="H120" s="2">
        <v>5557370076.1899996</v>
      </c>
      <c r="I120" s="2">
        <v>1887.5</v>
      </c>
      <c r="J120" s="2">
        <v>0.50661783000000005</v>
      </c>
      <c r="K120" s="2">
        <v>23271</v>
      </c>
      <c r="L120" s="2">
        <v>191548446390</v>
      </c>
      <c r="M120" s="2">
        <v>12942</v>
      </c>
      <c r="N120" s="2">
        <v>2.0112849952</v>
      </c>
      <c r="O120" s="2">
        <v>3.8399999999999997E-6</v>
      </c>
      <c r="P120" s="2">
        <v>5228939</v>
      </c>
      <c r="Q120" s="2">
        <v>151</v>
      </c>
    </row>
    <row r="121" spans="1:17" x14ac:dyDescent="0.25">
      <c r="A121" s="1">
        <v>43489</v>
      </c>
      <c r="B121" s="2">
        <v>462126113.91799998</v>
      </c>
      <c r="C121" s="2">
        <v>105105546.553</v>
      </c>
      <c r="D121" s="2">
        <v>11715</v>
      </c>
      <c r="E121" s="2">
        <v>2324777559.5300002</v>
      </c>
      <c r="F121" s="2">
        <v>132.21</v>
      </c>
      <c r="G121" s="2">
        <v>264182477</v>
      </c>
      <c r="H121" s="2">
        <v>5559779706.0200005</v>
      </c>
      <c r="I121" s="2">
        <v>1625</v>
      </c>
      <c r="J121" s="2">
        <v>0.42621863999999998</v>
      </c>
      <c r="K121" s="2">
        <v>23411</v>
      </c>
      <c r="L121" s="2">
        <v>199466182387</v>
      </c>
      <c r="M121" s="2">
        <v>14871</v>
      </c>
      <c r="N121" s="2">
        <v>3.9851769438</v>
      </c>
      <c r="O121" s="2">
        <v>5.4399999999999996E-6</v>
      </c>
      <c r="P121" s="2">
        <v>5888951</v>
      </c>
      <c r="Q121" s="2">
        <v>130</v>
      </c>
    </row>
    <row r="122" spans="1:17" x14ac:dyDescent="0.25">
      <c r="A122" s="1">
        <v>43488</v>
      </c>
      <c r="B122" s="2">
        <v>354632237.14099997</v>
      </c>
      <c r="C122" s="2">
        <v>160211309.50099999</v>
      </c>
      <c r="D122" s="2">
        <v>8319</v>
      </c>
      <c r="E122" s="2">
        <v>2258325200.9400001</v>
      </c>
      <c r="F122" s="2">
        <v>128.44</v>
      </c>
      <c r="G122" s="2">
        <v>293056048</v>
      </c>
      <c r="H122" s="2">
        <v>5566433710.4700003</v>
      </c>
      <c r="I122" s="2">
        <v>1875</v>
      </c>
      <c r="J122" s="2">
        <v>0.30494008</v>
      </c>
      <c r="K122" s="2">
        <v>20359</v>
      </c>
      <c r="L122" s="2">
        <v>195146543422</v>
      </c>
      <c r="M122" s="2">
        <v>12157</v>
      </c>
      <c r="N122" s="2">
        <v>15.224639253199999</v>
      </c>
      <c r="O122" s="2">
        <v>4.8600000000000001E-6</v>
      </c>
      <c r="P122" s="2">
        <v>3968687</v>
      </c>
      <c r="Q122" s="2">
        <v>150</v>
      </c>
    </row>
    <row r="123" spans="1:17" x14ac:dyDescent="0.25">
      <c r="A123" s="1">
        <v>43487</v>
      </c>
      <c r="B123" s="2">
        <v>402852056.80400002</v>
      </c>
      <c r="C123" s="2">
        <v>158635088.71399999</v>
      </c>
      <c r="D123" s="2">
        <v>8583</v>
      </c>
      <c r="E123" s="2">
        <v>2157346492.3400002</v>
      </c>
      <c r="F123" s="2">
        <v>122.71</v>
      </c>
      <c r="G123" s="2">
        <v>264996480</v>
      </c>
      <c r="H123" s="2">
        <v>5568408794.1300001</v>
      </c>
      <c r="I123" s="2">
        <v>1575</v>
      </c>
      <c r="J123" s="2">
        <v>0.37027782999999997</v>
      </c>
      <c r="K123" s="2">
        <v>19586</v>
      </c>
      <c r="L123" s="2">
        <v>223285108370</v>
      </c>
      <c r="M123" s="2">
        <v>12763</v>
      </c>
      <c r="N123" s="2">
        <v>12.485721639299999</v>
      </c>
      <c r="O123" s="2">
        <v>3.7900000000000001E-6</v>
      </c>
      <c r="P123" s="2">
        <v>4279709</v>
      </c>
      <c r="Q123" s="2">
        <v>126</v>
      </c>
    </row>
    <row r="124" spans="1:17" x14ac:dyDescent="0.25">
      <c r="A124" s="1">
        <v>43486</v>
      </c>
      <c r="B124" s="2">
        <v>315382120.09500003</v>
      </c>
      <c r="C124" s="2">
        <v>136411986.22999999</v>
      </c>
      <c r="D124" s="2">
        <v>8870</v>
      </c>
      <c r="E124" s="2">
        <v>2178415239.8200002</v>
      </c>
      <c r="F124" s="2">
        <v>123.92</v>
      </c>
      <c r="G124" s="2">
        <v>187814581</v>
      </c>
      <c r="H124" s="2">
        <v>5572080080.3999996</v>
      </c>
      <c r="I124" s="2">
        <v>1875</v>
      </c>
      <c r="J124" s="2">
        <v>0.30537323</v>
      </c>
      <c r="K124" s="2">
        <v>20387</v>
      </c>
      <c r="L124" s="2">
        <v>198903740953</v>
      </c>
      <c r="M124" s="2">
        <v>13267</v>
      </c>
      <c r="N124" s="2">
        <v>8.5242845511999992</v>
      </c>
      <c r="O124" s="2">
        <v>5.13E-6</v>
      </c>
      <c r="P124" s="2">
        <v>5095344</v>
      </c>
      <c r="Q124" s="2">
        <v>150</v>
      </c>
    </row>
    <row r="125" spans="1:17" x14ac:dyDescent="0.25">
      <c r="A125" s="1">
        <v>43485</v>
      </c>
      <c r="B125" s="2">
        <v>388333881.81400001</v>
      </c>
      <c r="C125" s="2">
        <v>126592266.051</v>
      </c>
      <c r="D125" s="2">
        <v>6883</v>
      </c>
      <c r="E125" s="2">
        <v>2287454361.5</v>
      </c>
      <c r="F125" s="2">
        <v>130.13999999999999</v>
      </c>
      <c r="G125" s="2">
        <v>269797874</v>
      </c>
      <c r="H125" s="2">
        <v>5581235439.7600002</v>
      </c>
      <c r="I125" s="2">
        <v>1687.5</v>
      </c>
      <c r="J125" s="2">
        <v>0.25649738</v>
      </c>
      <c r="K125" s="2">
        <v>17937</v>
      </c>
      <c r="L125" s="2">
        <v>219535609403</v>
      </c>
      <c r="M125" s="2">
        <v>10532</v>
      </c>
      <c r="N125" s="2">
        <v>5.8113743706000003</v>
      </c>
      <c r="O125" s="2">
        <v>3.7799999999999998E-6</v>
      </c>
      <c r="P125" s="2">
        <v>3278381</v>
      </c>
      <c r="Q125" s="2">
        <v>135</v>
      </c>
    </row>
    <row r="126" spans="1:17" x14ac:dyDescent="0.25">
      <c r="A126" s="1">
        <v>43484</v>
      </c>
      <c r="B126" s="2">
        <v>298674429.20200002</v>
      </c>
      <c r="C126" s="2">
        <v>119567265.37100001</v>
      </c>
      <c r="D126" s="2">
        <v>11382</v>
      </c>
      <c r="E126" s="2">
        <v>2259427331.4400001</v>
      </c>
      <c r="F126" s="2">
        <v>128.55000000000001</v>
      </c>
      <c r="G126" s="2">
        <v>198967556</v>
      </c>
      <c r="H126" s="2">
        <v>5585477218.6199999</v>
      </c>
      <c r="I126" s="2">
        <v>1950</v>
      </c>
      <c r="J126" s="2">
        <v>0.30011255999999997</v>
      </c>
      <c r="K126" s="2">
        <v>20860</v>
      </c>
      <c r="L126" s="2">
        <v>202763990491</v>
      </c>
      <c r="M126" s="2">
        <v>10155</v>
      </c>
      <c r="N126" s="2">
        <v>2.48602845E-2</v>
      </c>
      <c r="O126" s="2">
        <v>2.6000000000000001E-6</v>
      </c>
      <c r="P126" s="2">
        <v>4451805</v>
      </c>
      <c r="Q126" s="2">
        <v>156</v>
      </c>
    </row>
    <row r="127" spans="1:17" x14ac:dyDescent="0.25">
      <c r="A127" s="1">
        <v>43483</v>
      </c>
      <c r="B127" s="2">
        <v>239017573.99200001</v>
      </c>
      <c r="C127" s="2">
        <v>126658725.21699999</v>
      </c>
      <c r="D127" s="2">
        <v>12449</v>
      </c>
      <c r="E127" s="2">
        <v>2303694667.0799999</v>
      </c>
      <c r="F127" s="2">
        <v>131.09</v>
      </c>
      <c r="G127" s="2">
        <v>208629422</v>
      </c>
      <c r="H127" s="2">
        <v>5586365628.1499996</v>
      </c>
      <c r="I127" s="2">
        <v>1812.5</v>
      </c>
      <c r="J127" s="2">
        <v>0.31627872000000001</v>
      </c>
      <c r="K127" s="2">
        <v>19251</v>
      </c>
      <c r="L127" s="2">
        <v>202831799623</v>
      </c>
      <c r="M127" s="2">
        <v>10984</v>
      </c>
      <c r="N127" s="2">
        <v>6.96179663E-2</v>
      </c>
      <c r="O127" s="2">
        <v>2.6000000000000001E-6</v>
      </c>
      <c r="P127" s="2">
        <v>4631762</v>
      </c>
      <c r="Q127" s="2">
        <v>145</v>
      </c>
    </row>
    <row r="128" spans="1:17" x14ac:dyDescent="0.25">
      <c r="A128" s="1">
        <v>43482</v>
      </c>
      <c r="B128" s="2">
        <v>273071057.59600002</v>
      </c>
      <c r="C128" s="2">
        <v>123266721.37800001</v>
      </c>
      <c r="D128" s="2">
        <v>8132</v>
      </c>
      <c r="E128" s="2">
        <v>2270372874.8800001</v>
      </c>
      <c r="F128" s="2">
        <v>129.19999999999999</v>
      </c>
      <c r="G128" s="2">
        <v>178365450</v>
      </c>
      <c r="H128" s="2">
        <v>5603871614.3500004</v>
      </c>
      <c r="I128" s="2">
        <v>1912.5</v>
      </c>
      <c r="J128" s="2">
        <v>0.23483513</v>
      </c>
      <c r="K128" s="2">
        <v>19271</v>
      </c>
      <c r="L128" s="2">
        <v>199869246752</v>
      </c>
      <c r="M128" s="2">
        <v>10864</v>
      </c>
      <c r="N128" s="2">
        <v>2.5254271799999999</v>
      </c>
      <c r="O128" s="2">
        <v>3.8E-6</v>
      </c>
      <c r="P128" s="2">
        <v>3873508</v>
      </c>
      <c r="Q128" s="2">
        <v>153</v>
      </c>
    </row>
    <row r="129" spans="1:17" x14ac:dyDescent="0.25">
      <c r="A129" s="1">
        <v>43481</v>
      </c>
      <c r="B129" s="2">
        <v>382443397.62800002</v>
      </c>
      <c r="C129" s="2">
        <v>188155541.33000001</v>
      </c>
      <c r="D129" s="2">
        <v>8824</v>
      </c>
      <c r="E129" s="2">
        <v>2261074880.4000001</v>
      </c>
      <c r="F129" s="2">
        <v>128.69</v>
      </c>
      <c r="G129" s="2">
        <v>161105128</v>
      </c>
      <c r="H129" s="2">
        <v>5611635105.5299997</v>
      </c>
      <c r="I129" s="2">
        <v>1700</v>
      </c>
      <c r="J129" s="2">
        <v>0.25648968</v>
      </c>
      <c r="K129" s="2">
        <v>21728</v>
      </c>
      <c r="L129" s="2">
        <v>202065616055</v>
      </c>
      <c r="M129" s="2">
        <v>14498</v>
      </c>
      <c r="N129" s="2">
        <v>2.1033942953999998</v>
      </c>
      <c r="O129" s="2">
        <v>3.7299999999999999E-6</v>
      </c>
      <c r="P129" s="2">
        <v>3994187</v>
      </c>
      <c r="Q129" s="2">
        <v>136</v>
      </c>
    </row>
    <row r="130" spans="1:17" x14ac:dyDescent="0.25">
      <c r="A130" s="1">
        <v>43480</v>
      </c>
      <c r="B130" s="2">
        <v>443999689.53799999</v>
      </c>
      <c r="C130" s="2">
        <v>176126460.39199999</v>
      </c>
      <c r="D130" s="2">
        <v>7530</v>
      </c>
      <c r="E130" s="2">
        <v>2353626902.79</v>
      </c>
      <c r="F130" s="2">
        <v>133.97</v>
      </c>
      <c r="G130" s="2">
        <v>182316505</v>
      </c>
      <c r="H130" s="2">
        <v>5619503241.8500004</v>
      </c>
      <c r="I130" s="2">
        <v>1762.5</v>
      </c>
      <c r="J130" s="2">
        <v>0.40142294000000001</v>
      </c>
      <c r="K130" s="2">
        <v>18560</v>
      </c>
      <c r="L130" s="2">
        <v>206943724866</v>
      </c>
      <c r="M130" s="2">
        <v>10562</v>
      </c>
      <c r="N130" s="2">
        <v>9.3779000000000003</v>
      </c>
      <c r="O130" s="2">
        <v>3.8E-6</v>
      </c>
      <c r="P130" s="2">
        <v>3433098</v>
      </c>
      <c r="Q130" s="2">
        <v>141</v>
      </c>
    </row>
    <row r="131" spans="1:17" x14ac:dyDescent="0.25">
      <c r="A131" s="1">
        <v>43479</v>
      </c>
      <c r="B131" s="2">
        <v>413199563.39999998</v>
      </c>
      <c r="C131" s="2">
        <v>177129268.49200001</v>
      </c>
      <c r="D131" s="2">
        <v>7042</v>
      </c>
      <c r="E131" s="2">
        <v>2221814633.7800002</v>
      </c>
      <c r="F131" s="2">
        <v>126.48</v>
      </c>
      <c r="G131" s="2">
        <v>214446102</v>
      </c>
      <c r="H131" s="2">
        <v>5624241063.1599998</v>
      </c>
      <c r="I131" s="2">
        <v>1900</v>
      </c>
      <c r="J131" s="2">
        <v>0.27422444000000001</v>
      </c>
      <c r="K131" s="2">
        <v>18997</v>
      </c>
      <c r="L131" s="2">
        <v>204648896288</v>
      </c>
      <c r="M131" s="2">
        <v>11612</v>
      </c>
      <c r="N131" s="2">
        <v>14.1342879816</v>
      </c>
      <c r="O131" s="2">
        <v>3.9400000000000004E-6</v>
      </c>
      <c r="P131" s="2">
        <v>3352247</v>
      </c>
      <c r="Q131" s="2">
        <v>152</v>
      </c>
    </row>
    <row r="132" spans="1:17" x14ac:dyDescent="0.25">
      <c r="A132" s="1">
        <v>43478</v>
      </c>
      <c r="B132" s="2">
        <v>247039285.98699999</v>
      </c>
      <c r="C132" s="2">
        <v>152151438.65099999</v>
      </c>
      <c r="D132" s="2">
        <v>6783</v>
      </c>
      <c r="E132" s="2">
        <v>2362443612.6799998</v>
      </c>
      <c r="F132" s="2">
        <v>134.5</v>
      </c>
      <c r="G132" s="2">
        <v>182166624</v>
      </c>
      <c r="H132" s="2">
        <v>5647132324.6700001</v>
      </c>
      <c r="I132" s="2">
        <v>1637.5</v>
      </c>
      <c r="J132" s="2">
        <v>0.29051616000000002</v>
      </c>
      <c r="K132" s="2">
        <v>18190</v>
      </c>
      <c r="L132" s="2">
        <v>203384294484</v>
      </c>
      <c r="M132" s="2">
        <v>12557</v>
      </c>
      <c r="N132" s="2">
        <v>6.0817967900000003</v>
      </c>
      <c r="O132" s="2">
        <v>3.7400000000000002E-6</v>
      </c>
      <c r="P132" s="2">
        <v>4464241</v>
      </c>
      <c r="Q132" s="2">
        <v>131</v>
      </c>
    </row>
    <row r="133" spans="1:17" x14ac:dyDescent="0.25">
      <c r="A133" s="1">
        <v>43477</v>
      </c>
      <c r="B133" s="2">
        <v>338057951.30699998</v>
      </c>
      <c r="C133" s="2">
        <v>184028124.15099999</v>
      </c>
      <c r="D133" s="2">
        <v>6851</v>
      </c>
      <c r="E133" s="2">
        <v>2309557689.1300001</v>
      </c>
      <c r="F133" s="2">
        <v>131.5</v>
      </c>
      <c r="G133" s="2">
        <v>212095966</v>
      </c>
      <c r="H133" s="2">
        <v>5652465259.8800001</v>
      </c>
      <c r="I133" s="2">
        <v>1912.5</v>
      </c>
      <c r="J133" s="2">
        <v>0.34572027999999999</v>
      </c>
      <c r="K133" s="2">
        <v>16957</v>
      </c>
      <c r="L133" s="2">
        <v>198554227301</v>
      </c>
      <c r="M133" s="2">
        <v>10029</v>
      </c>
      <c r="N133" s="2">
        <v>10.5067448</v>
      </c>
      <c r="O133" s="2">
        <v>3.76E-6</v>
      </c>
      <c r="P133" s="2">
        <v>3094554</v>
      </c>
      <c r="Q133" s="2">
        <v>153</v>
      </c>
    </row>
    <row r="134" spans="1:17" x14ac:dyDescent="0.25">
      <c r="A134" s="1">
        <v>43476</v>
      </c>
      <c r="B134" s="2">
        <v>553189235.14300001</v>
      </c>
      <c r="C134" s="2">
        <v>306228149.421</v>
      </c>
      <c r="D134" s="2">
        <v>11527</v>
      </c>
      <c r="E134" s="2">
        <v>2351583078.5100002</v>
      </c>
      <c r="F134" s="2">
        <v>133.91</v>
      </c>
      <c r="G134" s="2">
        <v>221067019</v>
      </c>
      <c r="H134" s="2">
        <v>5652868916.9899998</v>
      </c>
      <c r="I134" s="2">
        <v>1737.5</v>
      </c>
      <c r="J134" s="2">
        <v>0.47007146999999999</v>
      </c>
      <c r="K134" s="2">
        <v>18581</v>
      </c>
      <c r="L134" s="2">
        <v>198594729393</v>
      </c>
      <c r="M134" s="2">
        <v>13076</v>
      </c>
      <c r="N134" s="2">
        <v>1.379273E-2</v>
      </c>
      <c r="O134" s="2">
        <v>2.6000000000000001E-6</v>
      </c>
      <c r="P134" s="2">
        <v>4306846</v>
      </c>
      <c r="Q134" s="2">
        <v>139</v>
      </c>
    </row>
    <row r="135" spans="1:17" x14ac:dyDescent="0.25">
      <c r="A135" s="1">
        <v>43475</v>
      </c>
      <c r="B135" s="2">
        <v>912881608.10699999</v>
      </c>
      <c r="C135" s="2">
        <v>330147333.07599998</v>
      </c>
      <c r="D135" s="2">
        <v>7550</v>
      </c>
      <c r="E135" s="2">
        <v>2814343751.75</v>
      </c>
      <c r="F135" s="2">
        <v>160.28</v>
      </c>
      <c r="G135" s="2">
        <v>349267379</v>
      </c>
      <c r="H135" s="2">
        <v>5663528983.6499996</v>
      </c>
      <c r="I135" s="2">
        <v>1787.5</v>
      </c>
      <c r="J135" s="2">
        <v>0.55276970999999997</v>
      </c>
      <c r="K135" s="2">
        <v>19480</v>
      </c>
      <c r="L135" s="2">
        <v>200484499737</v>
      </c>
      <c r="M135" s="2">
        <v>11747</v>
      </c>
      <c r="N135" s="2">
        <v>56.800199502399998</v>
      </c>
      <c r="O135" s="2">
        <v>4.5399999999999997E-6</v>
      </c>
      <c r="P135" s="2">
        <v>3522214</v>
      </c>
      <c r="Q135" s="2">
        <v>143</v>
      </c>
    </row>
    <row r="136" spans="1:17" x14ac:dyDescent="0.25">
      <c r="A136" s="1">
        <v>43474</v>
      </c>
      <c r="B136" s="2">
        <v>729268353.28499997</v>
      </c>
      <c r="C136" s="2">
        <v>289312393.65600002</v>
      </c>
      <c r="D136" s="2">
        <v>8941</v>
      </c>
      <c r="E136" s="2">
        <v>2846516392.02</v>
      </c>
      <c r="F136" s="2">
        <v>162.12</v>
      </c>
      <c r="G136" s="2">
        <v>163008542</v>
      </c>
      <c r="H136" s="2">
        <v>5756847167.8000002</v>
      </c>
      <c r="I136" s="2">
        <v>1750</v>
      </c>
      <c r="J136" s="2">
        <v>0.47491582999999998</v>
      </c>
      <c r="K136" s="2">
        <v>21217</v>
      </c>
      <c r="L136" s="2">
        <v>213755857280</v>
      </c>
      <c r="M136" s="2">
        <v>13464</v>
      </c>
      <c r="N136" s="2">
        <v>3.2103650880000001</v>
      </c>
      <c r="O136" s="2">
        <v>3.0800000000000002E-6</v>
      </c>
      <c r="P136" s="2">
        <v>4229103</v>
      </c>
      <c r="Q136" s="2">
        <v>140</v>
      </c>
    </row>
    <row r="137" spans="1:17" x14ac:dyDescent="0.25">
      <c r="A137" s="1">
        <v>43473</v>
      </c>
      <c r="B137" s="2">
        <v>623184607.72800004</v>
      </c>
      <c r="C137" s="2">
        <v>316830042.46899998</v>
      </c>
      <c r="D137" s="2">
        <v>8760</v>
      </c>
      <c r="E137" s="2">
        <v>2833558112.71</v>
      </c>
      <c r="F137" s="2">
        <v>161.4</v>
      </c>
      <c r="G137" s="2">
        <v>167967145</v>
      </c>
      <c r="H137" s="2">
        <v>5763091074.8299999</v>
      </c>
      <c r="I137" s="2">
        <v>1875</v>
      </c>
      <c r="J137" s="2">
        <v>0.33786955000000002</v>
      </c>
      <c r="K137" s="2">
        <v>19827</v>
      </c>
      <c r="L137" s="2">
        <v>199058978155</v>
      </c>
      <c r="M137" s="2">
        <v>12693</v>
      </c>
      <c r="N137" s="2">
        <v>4.8916708499999997</v>
      </c>
      <c r="O137" s="2">
        <v>4.42E-6</v>
      </c>
      <c r="P137" s="2">
        <v>4473604</v>
      </c>
      <c r="Q137" s="2">
        <v>150</v>
      </c>
    </row>
    <row r="138" spans="1:17" x14ac:dyDescent="0.25">
      <c r="A138" s="1">
        <v>43472</v>
      </c>
      <c r="B138" s="2">
        <v>390327328.88599998</v>
      </c>
      <c r="C138" s="2">
        <v>228849281.49200001</v>
      </c>
      <c r="D138" s="2">
        <v>7638</v>
      </c>
      <c r="E138" s="2">
        <v>2928950886.6700001</v>
      </c>
      <c r="F138" s="2">
        <v>166.85</v>
      </c>
      <c r="G138" s="2">
        <v>204578538</v>
      </c>
      <c r="H138" s="2">
        <v>5767853322.21</v>
      </c>
      <c r="I138" s="2">
        <v>1662.5</v>
      </c>
      <c r="J138" s="2">
        <v>0.32845244000000001</v>
      </c>
      <c r="K138" s="2">
        <v>19266</v>
      </c>
      <c r="L138" s="2">
        <v>194393852016</v>
      </c>
      <c r="M138" s="2">
        <v>11508</v>
      </c>
      <c r="N138" s="2">
        <v>15.705126656999999</v>
      </c>
      <c r="O138" s="2">
        <v>3.8E-6</v>
      </c>
      <c r="P138" s="2">
        <v>3507329</v>
      </c>
      <c r="Q138" s="2">
        <v>133</v>
      </c>
    </row>
    <row r="139" spans="1:17" x14ac:dyDescent="0.25">
      <c r="A139" s="1">
        <v>43471</v>
      </c>
      <c r="B139" s="2">
        <v>354663215.75599998</v>
      </c>
      <c r="C139" s="2">
        <v>217821240.94499999</v>
      </c>
      <c r="D139" s="2">
        <v>24362</v>
      </c>
      <c r="E139" s="2">
        <v>2811720900.29</v>
      </c>
      <c r="F139" s="2">
        <v>160.19</v>
      </c>
      <c r="G139" s="2">
        <v>226834845</v>
      </c>
      <c r="H139" s="2">
        <v>5786819525.3100004</v>
      </c>
      <c r="I139" s="2">
        <v>1850</v>
      </c>
      <c r="J139" s="2">
        <v>0.22873508000000001</v>
      </c>
      <c r="K139" s="2">
        <v>46298</v>
      </c>
      <c r="L139" s="2">
        <v>217462047931</v>
      </c>
      <c r="M139" s="2">
        <v>10790</v>
      </c>
      <c r="N139" s="2">
        <v>2.931477E-3</v>
      </c>
      <c r="O139" s="2">
        <v>1.95E-6</v>
      </c>
      <c r="P139" s="2">
        <v>6486837</v>
      </c>
      <c r="Q139" s="2">
        <v>148</v>
      </c>
    </row>
    <row r="140" spans="1:17" x14ac:dyDescent="0.25">
      <c r="A140" s="1">
        <v>43470</v>
      </c>
      <c r="B140" s="2">
        <v>436952365.94599998</v>
      </c>
      <c r="C140" s="2">
        <v>266372895.21200001</v>
      </c>
      <c r="D140" s="2">
        <v>7199</v>
      </c>
      <c r="E140" s="2">
        <v>2828100931.3600001</v>
      </c>
      <c r="F140" s="2">
        <v>161.13999999999999</v>
      </c>
      <c r="G140" s="2">
        <v>230320255</v>
      </c>
      <c r="H140" s="2">
        <v>5787154954.6300001</v>
      </c>
      <c r="I140" s="2">
        <v>1912.5</v>
      </c>
      <c r="J140" s="2">
        <v>0.27128815000000001</v>
      </c>
      <c r="K140" s="2">
        <v>18626</v>
      </c>
      <c r="L140" s="2">
        <v>217534460347</v>
      </c>
      <c r="M140" s="2">
        <v>10970</v>
      </c>
      <c r="N140" s="2">
        <v>18.823243597200001</v>
      </c>
      <c r="O140" s="2">
        <v>3.8800000000000001E-6</v>
      </c>
      <c r="P140" s="2">
        <v>3202044</v>
      </c>
      <c r="Q140" s="2">
        <v>153</v>
      </c>
    </row>
    <row r="141" spans="1:17" x14ac:dyDescent="0.25">
      <c r="A141" s="1">
        <v>43469</v>
      </c>
      <c r="B141" s="2">
        <v>631752526.41199994</v>
      </c>
      <c r="C141" s="2">
        <v>386962868.68599999</v>
      </c>
      <c r="D141" s="2">
        <v>7596</v>
      </c>
      <c r="E141" s="2">
        <v>2837697206.4099998</v>
      </c>
      <c r="F141" s="2">
        <v>161.71</v>
      </c>
      <c r="G141" s="2">
        <v>207663255</v>
      </c>
      <c r="H141" s="2">
        <v>5788856900.8999996</v>
      </c>
      <c r="I141" s="2">
        <v>1737.5</v>
      </c>
      <c r="J141" s="2">
        <v>0.42499408</v>
      </c>
      <c r="K141" s="2">
        <v>19329</v>
      </c>
      <c r="L141" s="2">
        <v>223099023371</v>
      </c>
      <c r="M141" s="2">
        <v>12764</v>
      </c>
      <c r="N141" s="2">
        <v>18.040100778500001</v>
      </c>
      <c r="O141" s="2">
        <v>4.42E-6</v>
      </c>
      <c r="P141" s="2">
        <v>3609264</v>
      </c>
      <c r="Q141" s="2">
        <v>139</v>
      </c>
    </row>
    <row r="142" spans="1:17" x14ac:dyDescent="0.25">
      <c r="A142" s="1">
        <v>43468</v>
      </c>
      <c r="B142" s="2">
        <v>729676520.70500004</v>
      </c>
      <c r="C142" s="2">
        <v>366182905.995</v>
      </c>
      <c r="D142" s="2">
        <v>12976</v>
      </c>
      <c r="E142" s="2">
        <v>3040330539.5900002</v>
      </c>
      <c r="F142" s="2">
        <v>173.27</v>
      </c>
      <c r="G142" s="2">
        <v>231676176</v>
      </c>
      <c r="H142" s="2">
        <v>5809871848.1199999</v>
      </c>
      <c r="I142" s="2">
        <v>1662.5</v>
      </c>
      <c r="J142" s="2">
        <v>0.31259301</v>
      </c>
      <c r="K142" s="2">
        <v>21223</v>
      </c>
      <c r="L142" s="2">
        <v>240376044001</v>
      </c>
      <c r="M142" s="2">
        <v>12608</v>
      </c>
      <c r="N142" s="2">
        <v>0.79339293379999998</v>
      </c>
      <c r="O142" s="2">
        <v>2.6000000000000001E-6</v>
      </c>
      <c r="P142" s="2">
        <v>4933423</v>
      </c>
      <c r="Q142" s="2">
        <v>133</v>
      </c>
    </row>
    <row r="143" spans="1:17" x14ac:dyDescent="0.25">
      <c r="A143" s="1">
        <v>43467</v>
      </c>
      <c r="B143" s="2">
        <v>609980698.38999999</v>
      </c>
      <c r="C143" s="2">
        <v>352401274.66500002</v>
      </c>
      <c r="D143" s="2">
        <v>18737</v>
      </c>
      <c r="E143" s="2">
        <v>2905779186.1599998</v>
      </c>
      <c r="F143" s="2">
        <v>165.62</v>
      </c>
      <c r="G143" s="2">
        <v>270357561</v>
      </c>
      <c r="H143" s="2">
        <v>5817744451.2700005</v>
      </c>
      <c r="I143" s="2">
        <v>1875</v>
      </c>
      <c r="J143" s="2">
        <v>0.47193245</v>
      </c>
      <c r="K143" s="2">
        <v>19146</v>
      </c>
      <c r="L143" s="2">
        <v>232645640400</v>
      </c>
      <c r="M143" s="2">
        <v>12228</v>
      </c>
      <c r="N143" s="2">
        <v>0</v>
      </c>
      <c r="O143" s="2">
        <v>4.5000000000000001E-6</v>
      </c>
      <c r="P143" s="2">
        <v>7788898</v>
      </c>
      <c r="Q143" s="2">
        <v>150</v>
      </c>
    </row>
    <row r="144" spans="1:17" x14ac:dyDescent="0.25">
      <c r="A144" s="1">
        <v>43466</v>
      </c>
      <c r="B144" s="2">
        <v>474689120.30400002</v>
      </c>
      <c r="C144" s="2">
        <v>254878666.287</v>
      </c>
      <c r="D144" s="2">
        <v>5595</v>
      </c>
      <c r="E144" s="2">
        <v>2647352259.9200001</v>
      </c>
      <c r="F144" s="2">
        <v>150.9</v>
      </c>
      <c r="G144" s="2">
        <v>267838686</v>
      </c>
      <c r="H144" s="2">
        <v>5814935189.3999996</v>
      </c>
      <c r="I144" s="2">
        <v>1837.5</v>
      </c>
      <c r="J144" s="2">
        <v>0.18578485</v>
      </c>
      <c r="K144" s="2">
        <v>14625</v>
      </c>
      <c r="L144" s="2">
        <v>230189449337</v>
      </c>
      <c r="M144" s="2">
        <v>8713</v>
      </c>
      <c r="N144" s="2">
        <v>37.325114999999997</v>
      </c>
      <c r="O144" s="2">
        <v>3.8800000000000001E-6</v>
      </c>
      <c r="P144" s="2">
        <v>2490659</v>
      </c>
      <c r="Q144" s="2">
        <v>147</v>
      </c>
    </row>
    <row r="145" spans="1:17" x14ac:dyDescent="0.25">
      <c r="A145" s="1">
        <v>43465</v>
      </c>
      <c r="B145" s="2">
        <v>624142231.92400002</v>
      </c>
      <c r="C145" s="2">
        <v>379907135.17900002</v>
      </c>
      <c r="D145" s="2">
        <v>7761</v>
      </c>
      <c r="E145" s="2">
        <v>2868292044.9000001</v>
      </c>
      <c r="F145" s="2">
        <v>163.52000000000001</v>
      </c>
      <c r="G145" s="2">
        <v>184371700</v>
      </c>
      <c r="H145" s="2">
        <v>5813596033.7700005</v>
      </c>
      <c r="I145" s="2">
        <v>1600</v>
      </c>
      <c r="J145" s="2">
        <v>0.40565002</v>
      </c>
      <c r="K145" s="2">
        <v>17420</v>
      </c>
      <c r="L145" s="2">
        <v>220457902328</v>
      </c>
      <c r="M145" s="2">
        <v>14121</v>
      </c>
      <c r="N145" s="2">
        <v>17.459417942400002</v>
      </c>
      <c r="O145" s="2">
        <v>7.6399999999999997E-6</v>
      </c>
      <c r="P145" s="2">
        <v>4091127</v>
      </c>
      <c r="Q145" s="2">
        <v>128</v>
      </c>
    </row>
    <row r="146" spans="1:17" x14ac:dyDescent="0.25">
      <c r="A146" s="1">
        <v>43464</v>
      </c>
      <c r="B146" s="2">
        <v>546080968.63499999</v>
      </c>
      <c r="C146" s="2">
        <v>360440340.79900002</v>
      </c>
      <c r="D146" s="2">
        <v>7516</v>
      </c>
      <c r="E146" s="2">
        <v>2896739718.77</v>
      </c>
      <c r="F146" s="2">
        <v>165.15</v>
      </c>
      <c r="G146" s="2">
        <v>254982420</v>
      </c>
      <c r="H146" s="2">
        <v>5828300771.6199999</v>
      </c>
      <c r="I146" s="2">
        <v>1762.5</v>
      </c>
      <c r="J146" s="2">
        <v>0.30824508</v>
      </c>
      <c r="K146" s="2">
        <v>17459</v>
      </c>
      <c r="L146" s="2">
        <v>211344501660</v>
      </c>
      <c r="M146" s="2">
        <v>13459</v>
      </c>
      <c r="N146" s="2">
        <v>8.4560103000000009</v>
      </c>
      <c r="O146" s="2">
        <v>7.3200000000000002E-6</v>
      </c>
      <c r="P146" s="2">
        <v>4015938</v>
      </c>
      <c r="Q146" s="2">
        <v>141</v>
      </c>
    </row>
    <row r="147" spans="1:17" x14ac:dyDescent="0.25">
      <c r="A147" s="1">
        <v>43463</v>
      </c>
      <c r="B147" s="2">
        <v>517051289.26999998</v>
      </c>
      <c r="C147" s="2">
        <v>332720323.03600001</v>
      </c>
      <c r="D147" s="2">
        <v>8070</v>
      </c>
      <c r="E147" s="2">
        <v>3059859175.77</v>
      </c>
      <c r="F147" s="2">
        <v>174.47</v>
      </c>
      <c r="G147" s="2">
        <v>308440732</v>
      </c>
      <c r="H147" s="2">
        <v>5836681783.3000002</v>
      </c>
      <c r="I147" s="2">
        <v>1762.5</v>
      </c>
      <c r="J147" s="2">
        <v>0.36442537000000003</v>
      </c>
      <c r="K147" s="2">
        <v>18214</v>
      </c>
      <c r="L147" s="2">
        <v>213321452964</v>
      </c>
      <c r="M147" s="2">
        <v>13841</v>
      </c>
      <c r="N147" s="2">
        <v>11.434083366999999</v>
      </c>
      <c r="O147" s="2">
        <v>7.4800000000000004E-6</v>
      </c>
      <c r="P147" s="2">
        <v>4212186</v>
      </c>
      <c r="Q147" s="2">
        <v>141</v>
      </c>
    </row>
    <row r="148" spans="1:17" x14ac:dyDescent="0.25">
      <c r="A148" s="1">
        <v>43462</v>
      </c>
      <c r="B148" s="2">
        <v>605809317.80900002</v>
      </c>
      <c r="C148" s="2">
        <v>259491954.11700001</v>
      </c>
      <c r="D148" s="2">
        <v>10600</v>
      </c>
      <c r="E148" s="2">
        <v>2640247828.4299998</v>
      </c>
      <c r="F148" s="2">
        <v>150.56</v>
      </c>
      <c r="G148" s="2">
        <v>466524537</v>
      </c>
      <c r="H148" s="2">
        <v>5849223003.5799999</v>
      </c>
      <c r="I148" s="2">
        <v>2087.5</v>
      </c>
      <c r="J148" s="2">
        <v>0.43143034000000002</v>
      </c>
      <c r="K148" s="2">
        <v>22764</v>
      </c>
      <c r="L148" s="2">
        <v>211182424932</v>
      </c>
      <c r="M148" s="2">
        <v>14805</v>
      </c>
      <c r="N148" s="2">
        <v>9.2964175359999999</v>
      </c>
      <c r="O148" s="2">
        <v>8.4600000000000003E-6</v>
      </c>
      <c r="P148" s="2">
        <v>11212690</v>
      </c>
      <c r="Q148" s="2">
        <v>167</v>
      </c>
    </row>
    <row r="149" spans="1:17" x14ac:dyDescent="0.25">
      <c r="A149" s="1">
        <v>43461</v>
      </c>
      <c r="B149" s="2">
        <v>662170994.42400002</v>
      </c>
      <c r="C149" s="2">
        <v>399773936.61900002</v>
      </c>
      <c r="D149" s="2">
        <v>8160</v>
      </c>
      <c r="E149" s="2">
        <v>3075626604.1700001</v>
      </c>
      <c r="F149" s="2">
        <v>175.41</v>
      </c>
      <c r="G149" s="2">
        <v>339080968</v>
      </c>
      <c r="H149" s="2">
        <v>5843204635.0500002</v>
      </c>
      <c r="I149" s="2">
        <v>1650</v>
      </c>
      <c r="J149" s="2">
        <v>0.33200171000000001</v>
      </c>
      <c r="K149" s="2">
        <v>22061</v>
      </c>
      <c r="L149" s="2">
        <v>217401752321</v>
      </c>
      <c r="M149" s="2">
        <v>13509</v>
      </c>
      <c r="N149" s="2">
        <v>44.446062882600003</v>
      </c>
      <c r="O149" s="2">
        <v>4.2799999999999997E-6</v>
      </c>
      <c r="P149" s="2">
        <v>3976262</v>
      </c>
      <c r="Q149" s="2">
        <v>132</v>
      </c>
    </row>
    <row r="150" spans="1:17" x14ac:dyDescent="0.25">
      <c r="A150" s="1">
        <v>43460</v>
      </c>
      <c r="B150" s="2">
        <v>691850953.16299999</v>
      </c>
      <c r="C150" s="2">
        <v>340013624.54900002</v>
      </c>
      <c r="D150" s="2">
        <v>8068</v>
      </c>
      <c r="E150" s="2">
        <v>3016657945.2800002</v>
      </c>
      <c r="F150" s="2">
        <v>172.06</v>
      </c>
      <c r="G150" s="2">
        <v>537284643</v>
      </c>
      <c r="H150" s="2">
        <v>5867953492.8000002</v>
      </c>
      <c r="I150" s="2">
        <v>1775</v>
      </c>
      <c r="J150" s="2">
        <v>0.37814203000000002</v>
      </c>
      <c r="K150" s="2">
        <v>17740</v>
      </c>
      <c r="L150" s="2">
        <v>225103920840</v>
      </c>
      <c r="M150" s="2">
        <v>11935</v>
      </c>
      <c r="N150" s="2">
        <v>17.4947923864</v>
      </c>
      <c r="O150" s="2">
        <v>4.3000000000000003E-6</v>
      </c>
      <c r="P150" s="2">
        <v>3915128</v>
      </c>
      <c r="Q150" s="2">
        <v>142</v>
      </c>
    </row>
    <row r="151" spans="1:17" x14ac:dyDescent="0.25">
      <c r="A151" s="1">
        <v>43459</v>
      </c>
      <c r="B151" s="2">
        <v>649743902.79100001</v>
      </c>
      <c r="C151" s="2">
        <v>310080836.66600001</v>
      </c>
      <c r="D151" s="2">
        <v>6986</v>
      </c>
      <c r="E151" s="2">
        <v>3208643207.0999999</v>
      </c>
      <c r="F151" s="2">
        <v>183.03</v>
      </c>
      <c r="G151" s="2">
        <v>621674076</v>
      </c>
      <c r="H151" s="2">
        <v>5884206104.3400002</v>
      </c>
      <c r="I151" s="2">
        <v>1887.5</v>
      </c>
      <c r="J151" s="2">
        <v>0.41838987</v>
      </c>
      <c r="K151" s="2">
        <v>18609</v>
      </c>
      <c r="L151" s="2">
        <v>220415298720</v>
      </c>
      <c r="M151" s="2">
        <v>10616</v>
      </c>
      <c r="N151" s="2">
        <v>115.19428661400001</v>
      </c>
      <c r="O151" s="2">
        <v>3.8999999999999999E-6</v>
      </c>
      <c r="P151" s="2">
        <v>3287945</v>
      </c>
      <c r="Q151" s="2">
        <v>151</v>
      </c>
    </row>
    <row r="152" spans="1:17" x14ac:dyDescent="0.25">
      <c r="A152" s="1">
        <v>43458</v>
      </c>
      <c r="B152" s="2">
        <v>798930663.18200004</v>
      </c>
      <c r="C152" s="2">
        <v>447349923.25300002</v>
      </c>
      <c r="D152" s="2">
        <v>8108</v>
      </c>
      <c r="E152" s="2">
        <v>3506299491.6300001</v>
      </c>
      <c r="F152" s="2">
        <v>200.03</v>
      </c>
      <c r="G152" s="2">
        <v>611323718</v>
      </c>
      <c r="H152" s="2">
        <v>5897589407.6499996</v>
      </c>
      <c r="I152" s="2">
        <v>1725</v>
      </c>
      <c r="J152" s="2">
        <v>0.45943514000000002</v>
      </c>
      <c r="K152" s="2">
        <v>21008</v>
      </c>
      <c r="L152" s="2">
        <v>240522177243</v>
      </c>
      <c r="M152" s="2">
        <v>14942</v>
      </c>
      <c r="N152" s="2">
        <v>113.72839070000001</v>
      </c>
      <c r="O152" s="2">
        <v>3.7900000000000001E-6</v>
      </c>
      <c r="P152" s="2">
        <v>4183299</v>
      </c>
      <c r="Q152" s="2">
        <v>138</v>
      </c>
    </row>
    <row r="153" spans="1:17" x14ac:dyDescent="0.25">
      <c r="A153" s="1">
        <v>43457</v>
      </c>
      <c r="B153" s="2">
        <v>829692900.91299999</v>
      </c>
      <c r="C153" s="2">
        <v>445701255.40899998</v>
      </c>
      <c r="D153" s="2">
        <v>6979</v>
      </c>
      <c r="E153" s="2">
        <v>3468499636.8499999</v>
      </c>
      <c r="F153" s="2">
        <v>197.89</v>
      </c>
      <c r="G153" s="2">
        <v>578345903</v>
      </c>
      <c r="H153" s="2">
        <v>5903010578.3599997</v>
      </c>
      <c r="I153" s="2">
        <v>1800</v>
      </c>
      <c r="J153" s="2">
        <v>0.28924322000000002</v>
      </c>
      <c r="K153" s="2">
        <v>19092</v>
      </c>
      <c r="L153" s="2">
        <v>241911897146</v>
      </c>
      <c r="M153" s="2">
        <v>10672</v>
      </c>
      <c r="N153" s="2">
        <v>88.093545516899994</v>
      </c>
      <c r="O153" s="2">
        <v>3.7900000000000001E-6</v>
      </c>
      <c r="P153" s="2">
        <v>3214561</v>
      </c>
      <c r="Q153" s="2">
        <v>144</v>
      </c>
    </row>
    <row r="154" spans="1:17" x14ac:dyDescent="0.25">
      <c r="A154" s="1">
        <v>43456</v>
      </c>
      <c r="B154" s="2">
        <v>794205421.62899995</v>
      </c>
      <c r="C154" s="2">
        <v>415633981.88099998</v>
      </c>
      <c r="D154" s="2">
        <v>7914</v>
      </c>
      <c r="E154" s="2">
        <v>3440206213.1799998</v>
      </c>
      <c r="F154" s="2">
        <v>196.3</v>
      </c>
      <c r="G154" s="2">
        <v>716022686</v>
      </c>
      <c r="H154" s="2">
        <v>5905465311.3699999</v>
      </c>
      <c r="I154" s="2">
        <v>1750</v>
      </c>
      <c r="J154" s="2">
        <v>0.46942853000000001</v>
      </c>
      <c r="K154" s="2">
        <v>20727</v>
      </c>
      <c r="L154" s="2">
        <v>242778211065</v>
      </c>
      <c r="M154" s="2">
        <v>12437</v>
      </c>
      <c r="N154" s="2">
        <v>94.755121058</v>
      </c>
      <c r="O154" s="2">
        <v>3.7900000000000001E-6</v>
      </c>
      <c r="P154" s="2">
        <v>3813855</v>
      </c>
      <c r="Q154" s="2">
        <v>140</v>
      </c>
    </row>
    <row r="155" spans="1:17" x14ac:dyDescent="0.25">
      <c r="A155" s="1">
        <v>43455</v>
      </c>
      <c r="B155" s="2">
        <v>1166021874.1400001</v>
      </c>
      <c r="C155" s="2">
        <v>718994926.84500003</v>
      </c>
      <c r="D155" s="2">
        <v>13582</v>
      </c>
      <c r="E155" s="2">
        <v>3337824574.9200001</v>
      </c>
      <c r="F155" s="2">
        <v>190.48</v>
      </c>
      <c r="G155" s="2">
        <v>1520475211</v>
      </c>
      <c r="H155" s="2">
        <v>5906091953.0900002</v>
      </c>
      <c r="I155" s="2">
        <v>1725</v>
      </c>
      <c r="J155" s="2">
        <v>1.1583995199999999</v>
      </c>
      <c r="K155" s="2">
        <v>34258</v>
      </c>
      <c r="L155" s="2">
        <v>246462450894</v>
      </c>
      <c r="M155" s="2">
        <v>18030</v>
      </c>
      <c r="N155" s="2">
        <v>189.98257862299999</v>
      </c>
      <c r="O155" s="2">
        <v>3.7900000000000001E-6</v>
      </c>
      <c r="P155" s="2">
        <v>8371889</v>
      </c>
      <c r="Q155" s="2">
        <v>138</v>
      </c>
    </row>
    <row r="156" spans="1:17" x14ac:dyDescent="0.25">
      <c r="A156" s="1">
        <v>43454</v>
      </c>
      <c r="B156" s="2">
        <v>994167686.45799994</v>
      </c>
      <c r="C156" s="2">
        <v>143526051.539</v>
      </c>
      <c r="D156" s="2">
        <v>11452</v>
      </c>
      <c r="E156" s="2">
        <v>2212675022.3400002</v>
      </c>
      <c r="F156" s="2">
        <v>126.28</v>
      </c>
      <c r="G156" s="2">
        <v>1558759484</v>
      </c>
      <c r="H156" s="2">
        <v>5892430037.1000004</v>
      </c>
      <c r="I156" s="2">
        <v>1912.5</v>
      </c>
      <c r="J156" s="2">
        <v>0.95982860999999997</v>
      </c>
      <c r="K156" s="2">
        <v>31983</v>
      </c>
      <c r="L156" s="2">
        <v>198853169109</v>
      </c>
      <c r="M156" s="2">
        <v>20428</v>
      </c>
      <c r="N156" s="2">
        <v>139.67709318600001</v>
      </c>
      <c r="O156" s="2">
        <v>4.5000000000000001E-6</v>
      </c>
      <c r="P156" s="2">
        <v>6189273</v>
      </c>
      <c r="Q156" s="2">
        <v>153</v>
      </c>
    </row>
    <row r="157" spans="1:17" x14ac:dyDescent="0.25">
      <c r="A157" s="1">
        <v>43453</v>
      </c>
      <c r="B157" s="2">
        <v>2640990741.3200002</v>
      </c>
      <c r="C157" s="2">
        <v>109690537.61</v>
      </c>
      <c r="D157" s="2">
        <v>10397</v>
      </c>
      <c r="E157" s="2">
        <v>1847278879.5</v>
      </c>
      <c r="F157" s="2">
        <v>105.44</v>
      </c>
      <c r="G157" s="2">
        <v>532417073</v>
      </c>
      <c r="H157" s="2">
        <v>5896037107.9499998</v>
      </c>
      <c r="I157" s="2">
        <v>2075</v>
      </c>
      <c r="J157" s="2">
        <v>0.63768643999999997</v>
      </c>
      <c r="K157" s="2">
        <v>26994</v>
      </c>
      <c r="L157" s="2">
        <v>156843248127</v>
      </c>
      <c r="M157" s="2">
        <v>16637</v>
      </c>
      <c r="N157" s="2">
        <v>87.7132384624</v>
      </c>
      <c r="O157" s="2">
        <v>4.5000000000000001E-6</v>
      </c>
      <c r="P157" s="2">
        <v>5318244</v>
      </c>
      <c r="Q157" s="2">
        <v>166</v>
      </c>
    </row>
    <row r="158" spans="1:17" x14ac:dyDescent="0.25">
      <c r="A158" s="1">
        <v>43452</v>
      </c>
      <c r="B158" s="2">
        <v>2115372851.5799999</v>
      </c>
      <c r="C158" s="2">
        <v>35484283.131700002</v>
      </c>
      <c r="D158" s="2">
        <v>8304</v>
      </c>
      <c r="E158" s="2">
        <v>1582054193.26</v>
      </c>
      <c r="F158" s="2">
        <v>90.31</v>
      </c>
      <c r="G158" s="2">
        <v>188289946</v>
      </c>
      <c r="H158" s="2">
        <v>5893662544.4499998</v>
      </c>
      <c r="I158" s="2">
        <v>1900</v>
      </c>
      <c r="J158" s="2">
        <v>0.68451932999999998</v>
      </c>
      <c r="K158" s="2">
        <v>29673</v>
      </c>
      <c r="L158" s="2">
        <v>140048766690</v>
      </c>
      <c r="M158" s="2">
        <v>11270</v>
      </c>
      <c r="N158" s="2">
        <v>21.594420560900002</v>
      </c>
      <c r="O158" s="2">
        <v>5.13E-6</v>
      </c>
      <c r="P158" s="2">
        <v>13635494</v>
      </c>
      <c r="Q158" s="2">
        <v>152</v>
      </c>
    </row>
    <row r="159" spans="1:17" x14ac:dyDescent="0.25">
      <c r="A159" s="1">
        <v>43451</v>
      </c>
      <c r="B159" s="2">
        <v>1990814567.3399999</v>
      </c>
      <c r="C159" s="2">
        <v>73172940.851199999</v>
      </c>
      <c r="D159" s="2">
        <v>13134</v>
      </c>
      <c r="E159" s="2">
        <v>1428002617.1099999</v>
      </c>
      <c r="F159" s="2">
        <v>81.53</v>
      </c>
      <c r="G159" s="2">
        <v>109893213</v>
      </c>
      <c r="H159" s="2">
        <v>5907386656.3500004</v>
      </c>
      <c r="I159" s="2">
        <v>1887.5</v>
      </c>
      <c r="J159" s="2">
        <v>0.33337348</v>
      </c>
      <c r="K159" s="2">
        <v>20113</v>
      </c>
      <c r="L159" s="2">
        <v>134930012932</v>
      </c>
      <c r="M159" s="2">
        <v>11897</v>
      </c>
      <c r="N159" s="2">
        <v>1.19922477E-2</v>
      </c>
      <c r="O159" s="2">
        <v>2.3999999999999999E-6</v>
      </c>
      <c r="P159" s="2">
        <v>4590382</v>
      </c>
      <c r="Q159" s="2">
        <v>151</v>
      </c>
    </row>
    <row r="160" spans="1:17" x14ac:dyDescent="0.25">
      <c r="A160" s="1">
        <v>43450</v>
      </c>
      <c r="B160" s="2">
        <v>1668256192.98</v>
      </c>
      <c r="C160" s="2">
        <v>78785999.478599995</v>
      </c>
      <c r="D160" s="2">
        <v>23578</v>
      </c>
      <c r="E160" s="2">
        <v>1355051432.4000001</v>
      </c>
      <c r="F160" s="2">
        <v>77.37</v>
      </c>
      <c r="G160" s="2">
        <v>80118715</v>
      </c>
      <c r="H160" s="2">
        <v>5924985591.0299997</v>
      </c>
      <c r="I160" s="2">
        <v>1762.5</v>
      </c>
      <c r="J160" s="2">
        <v>0.42609522999999999</v>
      </c>
      <c r="K160" s="2">
        <v>17417</v>
      </c>
      <c r="L160" s="2">
        <v>133815377291</v>
      </c>
      <c r="M160" s="2">
        <v>9499</v>
      </c>
      <c r="N160" s="2">
        <v>1.39691535E-2</v>
      </c>
      <c r="O160" s="2">
        <v>2.3999999999999999E-6</v>
      </c>
      <c r="P160" s="2">
        <v>6386842</v>
      </c>
      <c r="Q160" s="2">
        <v>141</v>
      </c>
    </row>
    <row r="161" spans="1:17" x14ac:dyDescent="0.25">
      <c r="A161" s="1">
        <v>43449</v>
      </c>
      <c r="B161" s="2">
        <v>2310286184.6700001</v>
      </c>
      <c r="C161" s="2">
        <v>95099930.086400002</v>
      </c>
      <c r="D161" s="2">
        <v>9678</v>
      </c>
      <c r="E161" s="2">
        <v>1406691313.3099999</v>
      </c>
      <c r="F161" s="2">
        <v>80.33</v>
      </c>
      <c r="G161" s="2">
        <v>68901780</v>
      </c>
      <c r="H161" s="2">
        <v>5975150826.1700001</v>
      </c>
      <c r="I161" s="2">
        <v>1787.5</v>
      </c>
      <c r="J161" s="2">
        <v>0.66016390999999996</v>
      </c>
      <c r="K161" s="2">
        <v>18696</v>
      </c>
      <c r="L161" s="2">
        <v>133633941779</v>
      </c>
      <c r="M161" s="2">
        <v>10275</v>
      </c>
      <c r="N161" s="2">
        <v>1.7727577852</v>
      </c>
      <c r="O161" s="2">
        <v>3.0000000000000001E-6</v>
      </c>
      <c r="P161" s="2">
        <v>4142669</v>
      </c>
      <c r="Q161" s="2">
        <v>143</v>
      </c>
    </row>
    <row r="162" spans="1:17" x14ac:dyDescent="0.25">
      <c r="A162" s="1">
        <v>43448</v>
      </c>
      <c r="B162" s="2">
        <v>2455688374.3000002</v>
      </c>
      <c r="C162" s="2">
        <v>319240118.86199999</v>
      </c>
      <c r="D162" s="2">
        <v>12546</v>
      </c>
      <c r="E162" s="2">
        <v>1580169093.6099999</v>
      </c>
      <c r="F162" s="2">
        <v>90.24</v>
      </c>
      <c r="G162" s="2">
        <v>104537195</v>
      </c>
      <c r="H162" s="2">
        <v>5986203829.1899996</v>
      </c>
      <c r="I162" s="2">
        <v>1787.5</v>
      </c>
      <c r="J162" s="2">
        <v>0.51822217999999998</v>
      </c>
      <c r="K162" s="2">
        <v>22494</v>
      </c>
      <c r="L162" s="2">
        <v>139929777405</v>
      </c>
      <c r="M162" s="2">
        <v>14892</v>
      </c>
      <c r="N162" s="2">
        <v>8.8020096000000006E-3</v>
      </c>
      <c r="O162" s="2">
        <v>2.6000000000000001E-6</v>
      </c>
      <c r="P162" s="2">
        <v>4720284</v>
      </c>
      <c r="Q162" s="2">
        <v>143</v>
      </c>
    </row>
    <row r="163" spans="1:17" x14ac:dyDescent="0.25">
      <c r="A163" s="1">
        <v>43447</v>
      </c>
      <c r="B163" s="2">
        <v>1663748118.0899999</v>
      </c>
      <c r="C163" s="2">
        <v>295973408.509</v>
      </c>
      <c r="D163" s="2">
        <v>17434</v>
      </c>
      <c r="E163" s="2">
        <v>1793470352.9000001</v>
      </c>
      <c r="F163" s="2">
        <v>102.43</v>
      </c>
      <c r="G163" s="2">
        <v>74837340</v>
      </c>
      <c r="H163" s="2">
        <v>6026241725.6899996</v>
      </c>
      <c r="I163" s="2">
        <v>1762.5</v>
      </c>
      <c r="J163" s="2">
        <v>0.57259291000000001</v>
      </c>
      <c r="K163" s="2">
        <v>25667</v>
      </c>
      <c r="L163" s="2">
        <v>156684631971</v>
      </c>
      <c r="M163" s="2">
        <v>13574</v>
      </c>
      <c r="N163" s="2">
        <v>0.57664402520000002</v>
      </c>
      <c r="O163" s="2">
        <v>4.2799999999999997E-6</v>
      </c>
      <c r="P163" s="2">
        <v>8797313</v>
      </c>
      <c r="Q163" s="2">
        <v>141</v>
      </c>
    </row>
    <row r="164" spans="1:17" x14ac:dyDescent="0.25">
      <c r="A164" s="1">
        <v>43446</v>
      </c>
      <c r="B164" s="2">
        <v>1239987062.1300001</v>
      </c>
      <c r="C164" s="2">
        <v>375314558.51999998</v>
      </c>
      <c r="D164" s="2">
        <v>13244</v>
      </c>
      <c r="E164" s="2">
        <v>1780677008.5799999</v>
      </c>
      <c r="F164" s="2">
        <v>101.71</v>
      </c>
      <c r="G164" s="2">
        <v>59280514</v>
      </c>
      <c r="H164" s="2">
        <v>6144077678.9799995</v>
      </c>
      <c r="I164" s="2">
        <v>1712.5</v>
      </c>
      <c r="J164" s="2">
        <v>0.58299480999999997</v>
      </c>
      <c r="K164" s="2">
        <v>30732</v>
      </c>
      <c r="L164" s="2">
        <v>153518103296</v>
      </c>
      <c r="M164" s="2">
        <v>22310</v>
      </c>
      <c r="N164" s="2">
        <v>20.13827487</v>
      </c>
      <c r="O164" s="2">
        <v>5.0000000000000002E-5</v>
      </c>
      <c r="P164" s="2">
        <v>6999652</v>
      </c>
      <c r="Q164" s="2">
        <v>137</v>
      </c>
    </row>
    <row r="165" spans="1:17" x14ac:dyDescent="0.25">
      <c r="A165" s="1">
        <v>43445</v>
      </c>
      <c r="B165" s="2">
        <v>2056404071.5599999</v>
      </c>
      <c r="C165" s="2">
        <v>319703649.71600002</v>
      </c>
      <c r="D165" s="2">
        <v>6490</v>
      </c>
      <c r="E165" s="2">
        <v>1873997863.8199999</v>
      </c>
      <c r="F165" s="2">
        <v>107.05</v>
      </c>
      <c r="G165" s="2">
        <v>71529997</v>
      </c>
      <c r="H165" s="2">
        <v>6153019443.21</v>
      </c>
      <c r="I165" s="2">
        <v>1700</v>
      </c>
      <c r="J165" s="2">
        <v>0.27329020999999998</v>
      </c>
      <c r="K165" s="2">
        <v>20541</v>
      </c>
      <c r="L165" s="2">
        <v>158500900777</v>
      </c>
      <c r="M165" s="2">
        <v>12765</v>
      </c>
      <c r="N165" s="2">
        <v>28.88896261</v>
      </c>
      <c r="O165" s="2">
        <v>3.9999999999999998E-6</v>
      </c>
      <c r="P165" s="2">
        <v>3708473</v>
      </c>
      <c r="Q165" s="2">
        <v>136</v>
      </c>
    </row>
    <row r="166" spans="1:17" x14ac:dyDescent="0.25">
      <c r="A166" s="1">
        <v>43444</v>
      </c>
      <c r="B166" s="2">
        <v>2000019249.02</v>
      </c>
      <c r="C166" s="2">
        <v>324171326.55299997</v>
      </c>
      <c r="D166" s="2">
        <v>6944</v>
      </c>
      <c r="E166" s="2">
        <v>1918469449.76</v>
      </c>
      <c r="F166" s="2">
        <v>109.6</v>
      </c>
      <c r="G166" s="2">
        <v>73938617</v>
      </c>
      <c r="H166" s="2">
        <v>6207006631.3900003</v>
      </c>
      <c r="I166" s="2">
        <v>1925</v>
      </c>
      <c r="J166" s="2">
        <v>0.28209841000000002</v>
      </c>
      <c r="K166" s="2">
        <v>23460</v>
      </c>
      <c r="L166" s="2">
        <v>164451191467</v>
      </c>
      <c r="M166" s="2">
        <v>12866</v>
      </c>
      <c r="N166" s="2">
        <v>29.785703752</v>
      </c>
      <c r="O166" s="2">
        <v>4.3100000000000002E-6</v>
      </c>
      <c r="P166" s="2">
        <v>4589607</v>
      </c>
      <c r="Q166" s="2">
        <v>154</v>
      </c>
    </row>
    <row r="167" spans="1:17" x14ac:dyDescent="0.25">
      <c r="A167" s="1">
        <v>43443</v>
      </c>
      <c r="B167" s="2">
        <v>1969660944.9000001</v>
      </c>
      <c r="C167" s="2">
        <v>375951047.23500001</v>
      </c>
      <c r="D167" s="2">
        <v>6558</v>
      </c>
      <c r="E167" s="2">
        <v>1815416070.72</v>
      </c>
      <c r="F167" s="2">
        <v>103.73</v>
      </c>
      <c r="G167" s="2">
        <v>120406818</v>
      </c>
      <c r="H167" s="2">
        <v>6265391441.1599998</v>
      </c>
      <c r="I167" s="2">
        <v>1837.5</v>
      </c>
      <c r="J167" s="2">
        <v>0.26222044999999999</v>
      </c>
      <c r="K167" s="2">
        <v>18275</v>
      </c>
      <c r="L167" s="2">
        <v>161658395366</v>
      </c>
      <c r="M167" s="2">
        <v>10059</v>
      </c>
      <c r="N167" s="2">
        <v>34.565682351200003</v>
      </c>
      <c r="O167" s="2">
        <v>3.8E-6</v>
      </c>
      <c r="P167" s="2">
        <v>3380503</v>
      </c>
      <c r="Q167" s="2">
        <v>147</v>
      </c>
    </row>
    <row r="168" spans="1:17" x14ac:dyDescent="0.25">
      <c r="A168" s="1">
        <v>43442</v>
      </c>
      <c r="B168" s="2">
        <v>2052643731.1400001</v>
      </c>
      <c r="C168" s="2">
        <v>571319365.25899994</v>
      </c>
      <c r="D168" s="2">
        <v>6898</v>
      </c>
      <c r="E168" s="2">
        <v>1859139821.5</v>
      </c>
      <c r="F168" s="2">
        <v>106.24</v>
      </c>
      <c r="G168" s="2">
        <v>112407720</v>
      </c>
      <c r="H168" s="2">
        <v>6364637725.7200003</v>
      </c>
      <c r="I168" s="2">
        <v>1537.5</v>
      </c>
      <c r="J168" s="2">
        <v>0.27244191000000001</v>
      </c>
      <c r="K168" s="2">
        <v>20437</v>
      </c>
      <c r="L168" s="2">
        <v>168886042519</v>
      </c>
      <c r="M168" s="2">
        <v>11522</v>
      </c>
      <c r="N168" s="2">
        <v>50.165687641600002</v>
      </c>
      <c r="O168" s="2">
        <v>3.8999999999999999E-6</v>
      </c>
      <c r="P168" s="2">
        <v>3597994</v>
      </c>
      <c r="Q168" s="2">
        <v>123</v>
      </c>
    </row>
    <row r="169" spans="1:17" x14ac:dyDescent="0.25">
      <c r="A169" s="1">
        <v>43441</v>
      </c>
      <c r="B169" s="2">
        <v>1898581362.25</v>
      </c>
      <c r="C169" s="2">
        <v>626627330.46000004</v>
      </c>
      <c r="D169" s="2">
        <v>9716</v>
      </c>
      <c r="E169" s="2">
        <v>1880933498.49</v>
      </c>
      <c r="F169" s="2">
        <v>107.49</v>
      </c>
      <c r="G169" s="2">
        <v>211041228</v>
      </c>
      <c r="H169" s="2">
        <v>6413140913.0200005</v>
      </c>
      <c r="I169" s="2">
        <v>1862.5</v>
      </c>
      <c r="J169" s="2">
        <v>0.73212087999999997</v>
      </c>
      <c r="K169" s="2">
        <v>27316</v>
      </c>
      <c r="L169" s="2">
        <v>156971829021</v>
      </c>
      <c r="M169" s="2">
        <v>15678</v>
      </c>
      <c r="N169" s="2">
        <v>46.876170795299998</v>
      </c>
      <c r="O169" s="2">
        <v>3.8E-6</v>
      </c>
      <c r="P169" s="2">
        <v>7397769</v>
      </c>
      <c r="Q169" s="2">
        <v>149</v>
      </c>
    </row>
    <row r="170" spans="1:17" x14ac:dyDescent="0.25">
      <c r="A170" s="1">
        <v>43440</v>
      </c>
      <c r="B170" s="2">
        <v>2609159769.9000001</v>
      </c>
      <c r="C170" s="2">
        <v>726419390.81500006</v>
      </c>
      <c r="D170" s="2">
        <v>30281</v>
      </c>
      <c r="E170" s="2">
        <v>2283694765.6700001</v>
      </c>
      <c r="F170" s="2">
        <v>130.52000000000001</v>
      </c>
      <c r="G170" s="2">
        <v>123685568</v>
      </c>
      <c r="H170" s="2">
        <v>6562240875.25</v>
      </c>
      <c r="I170" s="2">
        <v>1725</v>
      </c>
      <c r="J170" s="2">
        <v>0.54797733999999998</v>
      </c>
      <c r="K170" s="2">
        <v>23403</v>
      </c>
      <c r="L170" s="2">
        <v>174531043012</v>
      </c>
      <c r="M170" s="2">
        <v>14843</v>
      </c>
      <c r="N170" s="2">
        <v>0</v>
      </c>
      <c r="O170" s="2">
        <v>2.6000000000000001E-6</v>
      </c>
      <c r="P170" s="2">
        <v>10650879</v>
      </c>
      <c r="Q170" s="2">
        <v>138</v>
      </c>
    </row>
    <row r="171" spans="1:17" x14ac:dyDescent="0.25">
      <c r="A171" s="1">
        <v>43439</v>
      </c>
      <c r="B171" s="2">
        <v>2677147792.2600002</v>
      </c>
      <c r="C171" s="2">
        <v>691195656.13100004</v>
      </c>
      <c r="D171" s="2">
        <v>16558</v>
      </c>
      <c r="E171" s="2">
        <v>2621605677.4000001</v>
      </c>
      <c r="F171" s="2">
        <v>149.85</v>
      </c>
      <c r="G171" s="2">
        <v>95942782</v>
      </c>
      <c r="H171" s="2">
        <v>6853381234.7600002</v>
      </c>
      <c r="I171" s="2">
        <v>1750</v>
      </c>
      <c r="J171" s="2">
        <v>0.45309539999999998</v>
      </c>
      <c r="K171" s="2">
        <v>21703</v>
      </c>
      <c r="L171" s="2">
        <v>189787897345</v>
      </c>
      <c r="M171" s="2">
        <v>14707</v>
      </c>
      <c r="N171" s="2">
        <v>3.7667794499999997E-2</v>
      </c>
      <c r="O171" s="2">
        <v>2.6000000000000001E-6</v>
      </c>
      <c r="P171" s="2">
        <v>6864739</v>
      </c>
      <c r="Q171" s="2">
        <v>140</v>
      </c>
    </row>
    <row r="172" spans="1:17" x14ac:dyDescent="0.25">
      <c r="A172" s="1">
        <v>43438</v>
      </c>
      <c r="B172" s="2">
        <v>1248162180.21</v>
      </c>
      <c r="C172" s="2">
        <v>816561567.76999998</v>
      </c>
      <c r="D172" s="2">
        <v>11831</v>
      </c>
      <c r="E172" s="2">
        <v>2792557373.98</v>
      </c>
      <c r="F172" s="2">
        <v>159.63999999999999</v>
      </c>
      <c r="G172" s="2">
        <v>73451486</v>
      </c>
      <c r="H172" s="2">
        <v>6923764378.7600002</v>
      </c>
      <c r="I172" s="2">
        <v>1725</v>
      </c>
      <c r="J172" s="2">
        <v>0.45315559999999999</v>
      </c>
      <c r="K172" s="2">
        <v>18662</v>
      </c>
      <c r="L172" s="2">
        <v>202805921548</v>
      </c>
      <c r="M172" s="2">
        <v>11691</v>
      </c>
      <c r="N172" s="2">
        <v>0.15964</v>
      </c>
      <c r="O172" s="2">
        <v>2.6000000000000001E-6</v>
      </c>
      <c r="P172" s="2">
        <v>4838928</v>
      </c>
      <c r="Q172" s="2">
        <v>138</v>
      </c>
    </row>
    <row r="173" spans="1:17" x14ac:dyDescent="0.25">
      <c r="A173" s="1">
        <v>43437</v>
      </c>
      <c r="B173" s="2">
        <v>939304124.93700004</v>
      </c>
      <c r="C173" s="2">
        <v>635720609.75</v>
      </c>
      <c r="D173" s="2">
        <v>7135</v>
      </c>
      <c r="E173" s="2">
        <v>3014059308.0300002</v>
      </c>
      <c r="F173" s="2">
        <v>172.32</v>
      </c>
      <c r="G173" s="2">
        <v>69403051</v>
      </c>
      <c r="H173" s="2">
        <v>7055748229.8400002</v>
      </c>
      <c r="I173" s="2">
        <v>1650</v>
      </c>
      <c r="J173" s="2">
        <v>0.32753421999999999</v>
      </c>
      <c r="K173" s="2">
        <v>18295</v>
      </c>
      <c r="L173" s="2">
        <v>249536531910</v>
      </c>
      <c r="M173" s="2">
        <v>11365</v>
      </c>
      <c r="N173" s="2">
        <v>34.463999999999999</v>
      </c>
      <c r="O173" s="2">
        <v>3.8399999999999997E-6</v>
      </c>
      <c r="P173" s="2">
        <v>3777957</v>
      </c>
      <c r="Q173" s="2">
        <v>132</v>
      </c>
    </row>
    <row r="174" spans="1:17" x14ac:dyDescent="0.25">
      <c r="A174" s="1">
        <v>43436</v>
      </c>
      <c r="B174" s="2">
        <v>540058656.20500004</v>
      </c>
      <c r="C174" s="2">
        <v>388963996.39600003</v>
      </c>
      <c r="D174" s="2">
        <v>5577</v>
      </c>
      <c r="E174" s="2">
        <v>3007221370.1300001</v>
      </c>
      <c r="F174" s="2">
        <v>171.94</v>
      </c>
      <c r="G174" s="2">
        <v>71004464</v>
      </c>
      <c r="H174" s="2">
        <v>7060503922.29</v>
      </c>
      <c r="I174" s="2">
        <v>1675</v>
      </c>
      <c r="J174" s="2">
        <v>0.32282939999999999</v>
      </c>
      <c r="K174" s="2">
        <v>14697</v>
      </c>
      <c r="L174" s="2">
        <v>270296072487</v>
      </c>
      <c r="M174" s="2">
        <v>8632</v>
      </c>
      <c r="N174" s="2">
        <v>33.839184713999998</v>
      </c>
      <c r="O174" s="2">
        <v>3.7900000000000001E-6</v>
      </c>
      <c r="P174" s="2">
        <v>2608609</v>
      </c>
      <c r="Q174" s="2">
        <v>134</v>
      </c>
    </row>
    <row r="175" spans="1:17" x14ac:dyDescent="0.25">
      <c r="A175" s="1">
        <v>43435</v>
      </c>
      <c r="B175" s="2">
        <v>190106448.868</v>
      </c>
      <c r="C175" s="2">
        <v>137335658.22999999</v>
      </c>
      <c r="D175" s="2">
        <v>8825</v>
      </c>
      <c r="E175" s="2">
        <v>3017066153.3800001</v>
      </c>
      <c r="F175" s="2">
        <v>172.52</v>
      </c>
      <c r="G175" s="2">
        <v>68660039</v>
      </c>
      <c r="H175" s="2">
        <v>7252407617.3100004</v>
      </c>
      <c r="I175" s="2">
        <v>1812.5</v>
      </c>
      <c r="J175" s="2">
        <v>0.27585544000000001</v>
      </c>
      <c r="K175" s="2">
        <v>21967</v>
      </c>
      <c r="L175" s="2">
        <v>267548978461</v>
      </c>
      <c r="M175" s="2">
        <v>11660</v>
      </c>
      <c r="N175" s="2">
        <v>3.2688865323999998</v>
      </c>
      <c r="O175" s="2">
        <v>3.8E-6</v>
      </c>
      <c r="P175" s="2">
        <v>4425070</v>
      </c>
      <c r="Q175" s="2">
        <v>145</v>
      </c>
    </row>
    <row r="176" spans="1:17" x14ac:dyDescent="0.25">
      <c r="A176" s="1">
        <v>43434</v>
      </c>
      <c r="B176" s="2">
        <v>558033913.58000004</v>
      </c>
      <c r="C176" s="2">
        <v>269912894.81800002</v>
      </c>
      <c r="D176" s="2">
        <v>10605</v>
      </c>
      <c r="E176" s="2">
        <v>3166503226.9299998</v>
      </c>
      <c r="F176" s="2">
        <v>181.09</v>
      </c>
      <c r="G176" s="2">
        <v>97441740</v>
      </c>
      <c r="H176" s="2">
        <v>7302393666.4300003</v>
      </c>
      <c r="I176" s="2">
        <v>1862.5</v>
      </c>
      <c r="J176" s="2">
        <v>1.69173138</v>
      </c>
      <c r="K176" s="2">
        <v>65384</v>
      </c>
      <c r="L176" s="2">
        <v>264636601452</v>
      </c>
      <c r="M176" s="2">
        <v>15117</v>
      </c>
      <c r="N176" s="2">
        <v>10.7563367366</v>
      </c>
      <c r="O176" s="2">
        <v>3.7400000000000002E-6</v>
      </c>
      <c r="P176" s="2">
        <v>13038332</v>
      </c>
      <c r="Q176" s="2">
        <v>149</v>
      </c>
    </row>
    <row r="177" spans="1:17" x14ac:dyDescent="0.25">
      <c r="A177" s="1">
        <v>43433</v>
      </c>
      <c r="B177" s="2">
        <v>68159837.782000005</v>
      </c>
      <c r="C177" s="2">
        <v>51042446.050300002</v>
      </c>
      <c r="D177" s="2">
        <v>8542</v>
      </c>
      <c r="E177" s="2">
        <v>3323818821.4400001</v>
      </c>
      <c r="F177" s="2">
        <v>190.1</v>
      </c>
      <c r="G177" s="2">
        <v>89166901</v>
      </c>
      <c r="H177" s="2">
        <v>7674652113.6999998</v>
      </c>
      <c r="I177" s="2">
        <v>1725</v>
      </c>
      <c r="J177" s="2">
        <v>0.42362022999999999</v>
      </c>
      <c r="K177" s="2">
        <v>25492</v>
      </c>
      <c r="L177" s="2">
        <v>250636481114</v>
      </c>
      <c r="M177" s="2">
        <v>12953</v>
      </c>
      <c r="N177" s="2">
        <v>14.019063273</v>
      </c>
      <c r="O177" s="2">
        <v>3.4199999999999999E-6</v>
      </c>
      <c r="P177" s="2">
        <v>5297988</v>
      </c>
      <c r="Q177" s="2">
        <v>138</v>
      </c>
    </row>
    <row r="178" spans="1:17" x14ac:dyDescent="0.25">
      <c r="A178" s="1">
        <v>43432</v>
      </c>
      <c r="B178" s="2">
        <v>65669930.902099997</v>
      </c>
      <c r="C178" s="2">
        <v>57301474.6087</v>
      </c>
      <c r="D178" s="2">
        <v>18598</v>
      </c>
      <c r="E178" s="2">
        <v>3131850243.6999998</v>
      </c>
      <c r="F178" s="2">
        <v>179.14</v>
      </c>
      <c r="G178" s="2">
        <v>127871000</v>
      </c>
      <c r="H178" s="2">
        <v>7772958753.1199999</v>
      </c>
      <c r="I178" s="2">
        <v>1837.5</v>
      </c>
      <c r="J178" s="2">
        <v>1.3944778</v>
      </c>
      <c r="K178" s="2">
        <v>36942</v>
      </c>
      <c r="L178" s="2">
        <v>272372385284</v>
      </c>
      <c r="M178" s="2">
        <v>22521</v>
      </c>
      <c r="N178" s="2">
        <v>1.9902454E-3</v>
      </c>
      <c r="O178" s="2">
        <v>3.2799999999999999E-6</v>
      </c>
      <c r="P178" s="2">
        <v>9690357</v>
      </c>
      <c r="Q178" s="2">
        <v>147</v>
      </c>
    </row>
    <row r="179" spans="1:17" x14ac:dyDescent="0.25">
      <c r="A179" s="1">
        <v>43431</v>
      </c>
      <c r="B179" s="2">
        <v>158989301.35600001</v>
      </c>
      <c r="C179" s="2">
        <v>128748530.61399999</v>
      </c>
      <c r="D179" s="2">
        <v>9174</v>
      </c>
      <c r="E179" s="2">
        <v>3181538428.3000002</v>
      </c>
      <c r="F179" s="2">
        <v>182</v>
      </c>
      <c r="G179" s="2">
        <v>136514000</v>
      </c>
      <c r="H179" s="2">
        <v>7886660060.5200005</v>
      </c>
      <c r="I179" s="2">
        <v>1762.5</v>
      </c>
      <c r="J179" s="2">
        <v>0.33089060999999997</v>
      </c>
      <c r="K179" s="2">
        <v>55842</v>
      </c>
      <c r="L179" s="2">
        <v>274049570118</v>
      </c>
      <c r="M179" s="2">
        <v>42423</v>
      </c>
      <c r="N179" s="2">
        <v>25.82090238</v>
      </c>
      <c r="O179" s="2">
        <v>3.7400000000000002E-6</v>
      </c>
      <c r="P179" s="2">
        <v>7071072</v>
      </c>
      <c r="Q179" s="2">
        <v>141</v>
      </c>
    </row>
    <row r="180" spans="1:17" x14ac:dyDescent="0.25">
      <c r="A180" s="1">
        <v>43430</v>
      </c>
      <c r="B180" s="2">
        <v>107904031.035</v>
      </c>
      <c r="C180" s="2">
        <v>95973952.072699994</v>
      </c>
      <c r="D180" s="2">
        <v>7541</v>
      </c>
      <c r="E180" s="2">
        <v>3230682948.4200001</v>
      </c>
      <c r="F180" s="2">
        <v>184.83</v>
      </c>
      <c r="G180" s="2">
        <v>283429000</v>
      </c>
      <c r="H180" s="2">
        <v>7931231169.3900003</v>
      </c>
      <c r="I180" s="2">
        <v>1775</v>
      </c>
      <c r="J180" s="2">
        <v>0.20833989</v>
      </c>
      <c r="K180" s="2">
        <v>48649</v>
      </c>
      <c r="L180" s="2">
        <v>280287374521</v>
      </c>
      <c r="M180" s="2">
        <v>36953</v>
      </c>
      <c r="N180" s="2">
        <v>12.753175736699999</v>
      </c>
      <c r="O180" s="2">
        <v>3.4199999999999999E-6</v>
      </c>
      <c r="P180" s="2">
        <v>6008117</v>
      </c>
      <c r="Q180" s="2">
        <v>142</v>
      </c>
    </row>
    <row r="181" spans="1:17" x14ac:dyDescent="0.25">
      <c r="A181" s="1">
        <v>43429</v>
      </c>
      <c r="B181" s="2">
        <v>113969375.861</v>
      </c>
      <c r="C181" s="2">
        <v>95065333.583100006</v>
      </c>
      <c r="D181" s="2">
        <v>5831</v>
      </c>
      <c r="E181" s="2">
        <v>3165704781.8299999</v>
      </c>
      <c r="F181" s="2">
        <v>181.13</v>
      </c>
      <c r="G181" s="2">
        <v>164581000</v>
      </c>
      <c r="H181" s="2">
        <v>8006361700.8800001</v>
      </c>
      <c r="I181" s="2">
        <v>1675</v>
      </c>
      <c r="J181" s="2">
        <v>0.12585788000000001</v>
      </c>
      <c r="K181" s="2">
        <v>19102</v>
      </c>
      <c r="L181" s="2">
        <v>279301455952</v>
      </c>
      <c r="M181" s="2">
        <v>9158</v>
      </c>
      <c r="N181" s="2">
        <v>17.590550439299999</v>
      </c>
      <c r="O181" s="2">
        <v>2.7800000000000001E-6</v>
      </c>
      <c r="P181" s="2">
        <v>4369160</v>
      </c>
      <c r="Q181" s="2">
        <v>134</v>
      </c>
    </row>
    <row r="182" spans="1:17" x14ac:dyDescent="0.25">
      <c r="A182" s="1">
        <v>43428</v>
      </c>
      <c r="B182" s="2">
        <v>33430321.700599998</v>
      </c>
      <c r="C182" s="2">
        <v>29620577.6974</v>
      </c>
      <c r="D182" s="2">
        <v>3818</v>
      </c>
      <c r="E182" s="2">
        <v>3628937054.3000002</v>
      </c>
      <c r="F182" s="2">
        <v>207.66</v>
      </c>
      <c r="G182" s="2">
        <v>97740700</v>
      </c>
      <c r="H182" s="2">
        <v>8052732399.1400003</v>
      </c>
      <c r="I182" s="2">
        <v>1387.5</v>
      </c>
      <c r="J182" s="2">
        <v>9.0488799999999994E-2</v>
      </c>
      <c r="K182" s="2">
        <v>13675</v>
      </c>
      <c r="L182" s="2">
        <v>429662899121</v>
      </c>
      <c r="M182" s="2">
        <v>5814</v>
      </c>
      <c r="N182" s="2">
        <v>21.707221026599999</v>
      </c>
      <c r="O182" s="2">
        <v>3.4199999999999999E-6</v>
      </c>
      <c r="P182" s="2">
        <v>2382752</v>
      </c>
      <c r="Q182" s="2">
        <v>111</v>
      </c>
    </row>
    <row r="183" spans="1:17" x14ac:dyDescent="0.25">
      <c r="A183" s="1">
        <v>43427</v>
      </c>
      <c r="B183" s="2">
        <v>256531992.491</v>
      </c>
      <c r="C183" s="2">
        <v>188654307.266</v>
      </c>
      <c r="D183" s="2">
        <v>5997</v>
      </c>
      <c r="E183" s="2">
        <v>3676821327.3499999</v>
      </c>
      <c r="F183" s="2">
        <v>210.42</v>
      </c>
      <c r="G183" s="2">
        <v>103947000</v>
      </c>
      <c r="H183" s="2">
        <v>8082168754.6199999</v>
      </c>
      <c r="I183" s="2">
        <v>1537.5</v>
      </c>
      <c r="J183" s="2">
        <v>0.12105528</v>
      </c>
      <c r="K183" s="2">
        <v>13494</v>
      </c>
      <c r="L183" s="2">
        <v>483834456241</v>
      </c>
      <c r="M183" s="2">
        <v>6803</v>
      </c>
      <c r="N183" s="2">
        <v>2.3586419682000002</v>
      </c>
      <c r="O183" s="2">
        <v>3.0000000000000001E-6</v>
      </c>
      <c r="P183" s="2">
        <v>2858418</v>
      </c>
      <c r="Q183" s="2">
        <v>123</v>
      </c>
    </row>
    <row r="184" spans="1:17" x14ac:dyDescent="0.25">
      <c r="A184" s="1">
        <v>43426</v>
      </c>
      <c r="B184" s="2">
        <v>121459767.26000001</v>
      </c>
      <c r="C184" s="2">
        <v>79154415.128199995</v>
      </c>
      <c r="D184" s="2">
        <v>4192</v>
      </c>
      <c r="E184" s="2">
        <v>4127152001.71</v>
      </c>
      <c r="F184" s="2">
        <v>236.21</v>
      </c>
      <c r="G184" s="2">
        <v>59981900</v>
      </c>
      <c r="H184" s="2">
        <v>8201967935</v>
      </c>
      <c r="I184" s="2">
        <v>1825</v>
      </c>
      <c r="J184" s="2">
        <v>0.34312591999999997</v>
      </c>
      <c r="K184" s="2">
        <v>11118</v>
      </c>
      <c r="L184" s="2">
        <v>540364428554</v>
      </c>
      <c r="M184" s="2">
        <v>8012</v>
      </c>
      <c r="N184" s="2">
        <v>3.6080888531999999</v>
      </c>
      <c r="O184" s="2">
        <v>3.7299999999999999E-6</v>
      </c>
      <c r="P184" s="2">
        <v>2321676</v>
      </c>
      <c r="Q184" s="2">
        <v>146</v>
      </c>
    </row>
    <row r="185" spans="1:17" x14ac:dyDescent="0.25">
      <c r="A185" s="1">
        <v>43425</v>
      </c>
      <c r="B185" s="2">
        <v>75457933.666700006</v>
      </c>
      <c r="C185" s="2">
        <v>60965737.422899999</v>
      </c>
      <c r="D185" s="2">
        <v>4704</v>
      </c>
      <c r="E185" s="2">
        <v>3955039487.1700001</v>
      </c>
      <c r="F185" s="2">
        <v>226.38</v>
      </c>
      <c r="G185" s="2">
        <v>80873000</v>
      </c>
      <c r="H185" s="2">
        <v>8382293644.21</v>
      </c>
      <c r="I185" s="2">
        <v>1762.5</v>
      </c>
      <c r="J185" s="2">
        <v>0.10450978</v>
      </c>
      <c r="K185" s="2">
        <v>10961</v>
      </c>
      <c r="L185" s="2">
        <v>595634206081</v>
      </c>
      <c r="M185" s="2">
        <v>5917</v>
      </c>
      <c r="N185" s="2">
        <v>0.90551999999999999</v>
      </c>
      <c r="O185" s="2">
        <v>2.7800000000000001E-6</v>
      </c>
      <c r="P185" s="2">
        <v>2193624</v>
      </c>
      <c r="Q185" s="2">
        <v>141</v>
      </c>
    </row>
    <row r="186" spans="1:17" x14ac:dyDescent="0.25">
      <c r="A186" s="1">
        <v>43424</v>
      </c>
      <c r="B186" s="2">
        <v>168425116.905</v>
      </c>
      <c r="C186" s="2">
        <v>125238241.65099999</v>
      </c>
      <c r="D186" s="2">
        <v>329111</v>
      </c>
      <c r="E186" s="2">
        <v>5875039303.6999998</v>
      </c>
      <c r="F186" s="2">
        <v>336.31</v>
      </c>
      <c r="G186" s="2">
        <v>142641000</v>
      </c>
      <c r="H186" s="2">
        <v>8435393732.3800001</v>
      </c>
      <c r="I186" s="2">
        <v>1512.5</v>
      </c>
      <c r="J186" s="2">
        <v>0.79169581</v>
      </c>
      <c r="K186" s="2">
        <v>342875</v>
      </c>
      <c r="L186" s="2">
        <v>698579972233</v>
      </c>
      <c r="M186" s="2">
        <v>27118</v>
      </c>
      <c r="N186" s="2">
        <v>1.0089300000000001E-2</v>
      </c>
      <c r="O186" s="2">
        <v>1.95E-6</v>
      </c>
      <c r="P186" s="2">
        <v>65204366</v>
      </c>
      <c r="Q186" s="2">
        <v>121</v>
      </c>
    </row>
    <row r="187" spans="1:17" x14ac:dyDescent="0.25">
      <c r="A187" s="1">
        <v>43423</v>
      </c>
      <c r="B187" s="2">
        <v>77939096.491699994</v>
      </c>
      <c r="C187" s="2">
        <v>74668643.961999997</v>
      </c>
      <c r="D187" s="2">
        <v>282507</v>
      </c>
      <c r="E187" s="2">
        <v>6701137280.46</v>
      </c>
      <c r="F187" s="2">
        <v>383.63</v>
      </c>
      <c r="G187" s="2">
        <v>107950000</v>
      </c>
      <c r="H187" s="2">
        <v>8514526938.6599998</v>
      </c>
      <c r="I187" s="2">
        <v>1950</v>
      </c>
      <c r="J187" s="2">
        <v>0.64555845000000001</v>
      </c>
      <c r="K187" s="2">
        <v>272846</v>
      </c>
      <c r="L187" s="2">
        <v>610207910886</v>
      </c>
      <c r="M187" s="2">
        <v>134669</v>
      </c>
      <c r="N187" s="2">
        <v>1.3005057E-2</v>
      </c>
      <c r="O187" s="2">
        <v>1.95E-6</v>
      </c>
      <c r="P187" s="2">
        <v>59717515</v>
      </c>
      <c r="Q187" s="2">
        <v>156</v>
      </c>
    </row>
    <row r="188" spans="1:17" x14ac:dyDescent="0.25">
      <c r="A188" s="1">
        <v>43422</v>
      </c>
      <c r="B188" s="2">
        <v>78761392.826199993</v>
      </c>
      <c r="C188" s="2">
        <v>60073238.2557</v>
      </c>
      <c r="D188" s="2">
        <v>658085</v>
      </c>
      <c r="E188" s="2">
        <v>6770177130.3000002</v>
      </c>
      <c r="F188" s="2">
        <v>387.63</v>
      </c>
      <c r="G188" s="2">
        <v>275157000</v>
      </c>
      <c r="H188" s="2">
        <v>8616057859.6100006</v>
      </c>
      <c r="I188" s="2">
        <v>1762.5</v>
      </c>
      <c r="J188" s="2">
        <v>1.2969117699999999</v>
      </c>
      <c r="K188" s="2">
        <v>10583</v>
      </c>
      <c r="L188" s="2">
        <v>629581202919</v>
      </c>
      <c r="M188" s="2">
        <v>23718</v>
      </c>
      <c r="N188" s="2">
        <v>2.1164598000000001E-3</v>
      </c>
      <c r="O188" s="2">
        <v>1.9199999999999998E-6</v>
      </c>
      <c r="P188" s="2">
        <v>127674811</v>
      </c>
      <c r="Q188" s="2">
        <v>141</v>
      </c>
    </row>
    <row r="189" spans="1:17" x14ac:dyDescent="0.25">
      <c r="A189" s="1">
        <v>43421</v>
      </c>
      <c r="B189" s="2">
        <v>117373982.441</v>
      </c>
      <c r="C189" s="2">
        <v>100911162.48999999</v>
      </c>
      <c r="D189" s="2">
        <v>877450</v>
      </c>
      <c r="E189" s="2">
        <v>6802103344.9300003</v>
      </c>
      <c r="F189" s="2">
        <v>389.5</v>
      </c>
      <c r="G189" s="2">
        <v>356307000</v>
      </c>
      <c r="H189" s="2">
        <v>8636131704.2099991</v>
      </c>
      <c r="I189" s="2">
        <v>1537.5</v>
      </c>
      <c r="J189" s="2">
        <v>1.9092384</v>
      </c>
      <c r="K189" s="2">
        <v>9628</v>
      </c>
      <c r="L189" s="2">
        <v>826914286510</v>
      </c>
      <c r="M189" s="2">
        <v>88795</v>
      </c>
      <c r="N189" s="2">
        <v>2.1266700000000002E-3</v>
      </c>
      <c r="O189" s="2">
        <v>1.9199999999999998E-6</v>
      </c>
      <c r="P189" s="2">
        <v>183661315</v>
      </c>
      <c r="Q189" s="2">
        <v>123</v>
      </c>
    </row>
    <row r="190" spans="1:17" x14ac:dyDescent="0.25">
      <c r="A190" s="1">
        <v>43420</v>
      </c>
      <c r="B190" s="2">
        <v>99549996.182899997</v>
      </c>
      <c r="C190" s="2">
        <v>96037704.264899999</v>
      </c>
      <c r="D190" s="2">
        <v>41256</v>
      </c>
      <c r="E190" s="2">
        <v>7355078640</v>
      </c>
      <c r="F190" s="2">
        <v>421.2</v>
      </c>
      <c r="G190" s="2">
        <v>502805000</v>
      </c>
      <c r="H190" s="2">
        <v>8724539752.3999996</v>
      </c>
      <c r="I190" s="2">
        <v>1925</v>
      </c>
      <c r="J190" s="2">
        <v>0.15947115000000001</v>
      </c>
      <c r="K190" s="2">
        <v>14130</v>
      </c>
      <c r="L190" s="2">
        <v>883217024550</v>
      </c>
      <c r="M190" s="2">
        <v>38174</v>
      </c>
      <c r="N190" s="2">
        <v>0</v>
      </c>
      <c r="O190" s="2">
        <v>1.9199999999999998E-6</v>
      </c>
      <c r="P190" s="2">
        <v>11410748</v>
      </c>
      <c r="Q190" s="2">
        <v>154</v>
      </c>
    </row>
    <row r="191" spans="1:17" x14ac:dyDescent="0.25">
      <c r="A191" s="1">
        <v>43419</v>
      </c>
      <c r="B191" s="2">
        <v>1042702278.67</v>
      </c>
      <c r="C191" s="2">
        <v>680051003.72300005</v>
      </c>
      <c r="D191" s="2">
        <v>386713</v>
      </c>
      <c r="E191" s="2">
        <v>7681811590</v>
      </c>
      <c r="F191" s="2">
        <v>439.96</v>
      </c>
      <c r="G191" s="2">
        <v>979243000</v>
      </c>
      <c r="H191" s="2">
        <v>8788688564.4699993</v>
      </c>
      <c r="I191" s="2">
        <v>1950</v>
      </c>
      <c r="J191" s="2">
        <v>1.6761244099999999</v>
      </c>
      <c r="K191" s="2">
        <v>45100</v>
      </c>
      <c r="L191" s="2">
        <v>557494238393</v>
      </c>
      <c r="M191" s="2">
        <v>81941</v>
      </c>
      <c r="N191" s="2">
        <v>2.4021816E-3</v>
      </c>
      <c r="O191" s="2">
        <v>1.9199999999999998E-6</v>
      </c>
      <c r="P191" s="2">
        <v>97147789</v>
      </c>
      <c r="Q191" s="2">
        <v>156</v>
      </c>
    </row>
    <row r="192" spans="1:17" x14ac:dyDescent="0.25">
      <c r="A192" s="1">
        <v>43418</v>
      </c>
      <c r="B192" s="2">
        <v>1191142028.55</v>
      </c>
      <c r="C192" s="2">
        <v>906167828.92900002</v>
      </c>
      <c r="D192" s="2">
        <v>29320</v>
      </c>
      <c r="E192" s="2">
        <v>8932155760</v>
      </c>
      <c r="F192" s="2">
        <v>511.63</v>
      </c>
      <c r="G192" s="2">
        <v>1167480000</v>
      </c>
      <c r="H192" s="2">
        <v>9036115988.2600002</v>
      </c>
      <c r="I192" s="2">
        <v>1450</v>
      </c>
      <c r="J192" s="2">
        <v>2.0631726700000002</v>
      </c>
      <c r="K192" s="2">
        <v>79714</v>
      </c>
      <c r="L192" s="2">
        <v>718897893385</v>
      </c>
      <c r="M192" s="2">
        <v>35453</v>
      </c>
      <c r="N192" s="2">
        <v>120.23916909499999</v>
      </c>
      <c r="O192" s="2">
        <v>4.3100000000000002E-6</v>
      </c>
      <c r="P192" s="2">
        <v>20503923</v>
      </c>
      <c r="Q192" s="2">
        <v>116</v>
      </c>
    </row>
    <row r="193" spans="1:17" x14ac:dyDescent="0.25">
      <c r="A193" s="1">
        <v>43417</v>
      </c>
      <c r="B193" s="2">
        <v>784879460.25800002</v>
      </c>
      <c r="C193" s="2">
        <v>582994663.829</v>
      </c>
      <c r="D193" s="2">
        <v>52634</v>
      </c>
      <c r="E193" s="2">
        <v>8982958737.75</v>
      </c>
      <c r="F193" s="2">
        <v>514.58000000000004</v>
      </c>
      <c r="G193" s="2">
        <v>972530000</v>
      </c>
      <c r="H193" s="2">
        <v>9319509189.6399994</v>
      </c>
      <c r="I193" s="2">
        <v>1937.5</v>
      </c>
      <c r="J193" s="2">
        <v>1.38338308</v>
      </c>
      <c r="K193" s="2">
        <v>87118</v>
      </c>
      <c r="L193" s="2">
        <v>706752247599</v>
      </c>
      <c r="M193" s="2">
        <v>35301</v>
      </c>
      <c r="N193" s="2">
        <v>0</v>
      </c>
      <c r="O193" s="2">
        <v>2.6000000000000001E-6</v>
      </c>
      <c r="P193" s="2">
        <v>24970059</v>
      </c>
      <c r="Q193" s="2">
        <v>155</v>
      </c>
    </row>
    <row r="194" spans="1:17" x14ac:dyDescent="0.25">
      <c r="A194" s="1">
        <v>43416</v>
      </c>
      <c r="B194" s="2">
        <v>706204803.00100005</v>
      </c>
      <c r="C194" s="2">
        <v>497260057.38300002</v>
      </c>
      <c r="D194" s="2">
        <v>119014</v>
      </c>
      <c r="E194" s="2">
        <v>9313370216.9699993</v>
      </c>
      <c r="F194" s="2">
        <v>533.57000000000005</v>
      </c>
      <c r="G194" s="2">
        <v>951132000</v>
      </c>
      <c r="H194" s="2">
        <v>9465669825.6000004</v>
      </c>
      <c r="I194" s="2">
        <v>1737.5</v>
      </c>
      <c r="J194" s="2">
        <v>1.65913131</v>
      </c>
      <c r="K194" s="2">
        <v>54814</v>
      </c>
      <c r="L194" s="2">
        <v>697131922179</v>
      </c>
      <c r="M194" s="2">
        <v>125402</v>
      </c>
      <c r="N194" s="2">
        <v>2.72227414E-2</v>
      </c>
      <c r="O194" s="2">
        <v>5.0100000000000003E-6</v>
      </c>
      <c r="P194" s="2">
        <v>42469042</v>
      </c>
      <c r="Q194" s="2">
        <v>139</v>
      </c>
    </row>
    <row r="195" spans="1:17" x14ac:dyDescent="0.25">
      <c r="A195" s="1">
        <v>43415</v>
      </c>
      <c r="B195" s="2">
        <v>379612495.00999999</v>
      </c>
      <c r="C195" s="2">
        <v>284527670.91299999</v>
      </c>
      <c r="D195" s="2">
        <v>17950</v>
      </c>
      <c r="E195" s="2">
        <v>9700157683.3299999</v>
      </c>
      <c r="F195" s="2">
        <v>555.78</v>
      </c>
      <c r="G195" s="2">
        <v>693990000</v>
      </c>
      <c r="H195" s="2">
        <v>9547121668.7099991</v>
      </c>
      <c r="I195" s="2">
        <v>1850</v>
      </c>
      <c r="J195" s="2">
        <v>0.94506847000000005</v>
      </c>
      <c r="K195" s="2">
        <v>46391</v>
      </c>
      <c r="L195" s="2">
        <v>634946670894</v>
      </c>
      <c r="M195" s="2">
        <v>28247</v>
      </c>
      <c r="N195" s="2">
        <v>111.15248747</v>
      </c>
      <c r="O195" s="2">
        <v>4.8300000000000003E-6</v>
      </c>
      <c r="P195" s="2">
        <v>10237221</v>
      </c>
      <c r="Q195" s="2">
        <v>148</v>
      </c>
    </row>
    <row r="196" spans="1:17" x14ac:dyDescent="0.25">
      <c r="A196" s="1">
        <v>43414</v>
      </c>
      <c r="B196" s="2">
        <v>299454427.13099998</v>
      </c>
      <c r="C196" s="2">
        <v>184826964.05700001</v>
      </c>
      <c r="D196" s="2">
        <v>1567326</v>
      </c>
      <c r="E196" s="2">
        <v>9473971864.1000004</v>
      </c>
      <c r="F196" s="2">
        <v>542.88</v>
      </c>
      <c r="G196" s="2">
        <v>656843000</v>
      </c>
      <c r="H196" s="2">
        <v>9574619849.8299999</v>
      </c>
      <c r="I196" s="2">
        <v>1825</v>
      </c>
      <c r="J196" s="2">
        <v>4.0416228900000002</v>
      </c>
      <c r="K196" s="2">
        <v>41422</v>
      </c>
      <c r="L196" s="2">
        <v>633969919602</v>
      </c>
      <c r="M196" s="2">
        <v>91430</v>
      </c>
      <c r="N196" s="2">
        <v>8.3929247999999998E-3</v>
      </c>
      <c r="O196" s="2">
        <v>1.9199999999999998E-6</v>
      </c>
      <c r="P196" s="2">
        <v>308558253</v>
      </c>
      <c r="Q196" s="2">
        <v>146</v>
      </c>
    </row>
    <row r="197" spans="1:17" x14ac:dyDescent="0.25">
      <c r="A197" s="1">
        <v>43413</v>
      </c>
      <c r="B197" s="2">
        <v>406728734.20300001</v>
      </c>
      <c r="C197" s="2">
        <v>282897766.13300002</v>
      </c>
      <c r="D197" s="2">
        <v>21261</v>
      </c>
      <c r="E197" s="2">
        <v>10016183447.299999</v>
      </c>
      <c r="F197" s="2">
        <v>574.01</v>
      </c>
      <c r="G197" s="2">
        <v>860474000</v>
      </c>
      <c r="H197" s="2">
        <v>9585888957.8600006</v>
      </c>
      <c r="I197" s="2">
        <v>1837.5</v>
      </c>
      <c r="J197" s="2">
        <v>1.0963238099999999</v>
      </c>
      <c r="K197" s="2">
        <v>44416</v>
      </c>
      <c r="L197" s="2">
        <v>640572043458</v>
      </c>
      <c r="M197" s="2">
        <v>28399</v>
      </c>
      <c r="N197" s="2">
        <v>98.675303851999999</v>
      </c>
      <c r="O197" s="2">
        <v>3.9999999999999998E-6</v>
      </c>
      <c r="P197" s="2">
        <v>10657723</v>
      </c>
      <c r="Q197" s="2">
        <v>147</v>
      </c>
    </row>
    <row r="198" spans="1:17" x14ac:dyDescent="0.25">
      <c r="A198" s="1">
        <v>43412</v>
      </c>
      <c r="B198" s="2">
        <v>396378070.92299998</v>
      </c>
      <c r="C198" s="2">
        <v>283112206.64399999</v>
      </c>
      <c r="D198" s="2">
        <v>21341</v>
      </c>
      <c r="E198" s="2">
        <v>10757089973.5</v>
      </c>
      <c r="F198" s="2">
        <v>616.53</v>
      </c>
      <c r="G198" s="2">
        <v>824619000</v>
      </c>
      <c r="H198" s="2">
        <v>9601829622.9200001</v>
      </c>
      <c r="I198" s="2">
        <v>1787.5</v>
      </c>
      <c r="J198" s="2">
        <v>1.17248573</v>
      </c>
      <c r="K198" s="2">
        <v>45984</v>
      </c>
      <c r="L198" s="2">
        <v>661359316533</v>
      </c>
      <c r="M198" s="2">
        <v>31093</v>
      </c>
      <c r="N198" s="2">
        <v>89.307077066700003</v>
      </c>
      <c r="O198" s="2">
        <v>5.0000000000000004E-6</v>
      </c>
      <c r="P198" s="2">
        <v>10662681</v>
      </c>
      <c r="Q198" s="2">
        <v>143</v>
      </c>
    </row>
    <row r="199" spans="1:17" x14ac:dyDescent="0.25">
      <c r="A199" s="1">
        <v>43411</v>
      </c>
      <c r="B199" s="2">
        <v>434903591.18400002</v>
      </c>
      <c r="C199" s="2">
        <v>330995124.58700001</v>
      </c>
      <c r="D199" s="2">
        <v>22252</v>
      </c>
      <c r="E199" s="2">
        <v>10994146319.299999</v>
      </c>
      <c r="F199" s="2">
        <v>630.17999999999995</v>
      </c>
      <c r="G199" s="2">
        <v>935156000</v>
      </c>
      <c r="H199" s="2">
        <v>9636366667.1100006</v>
      </c>
      <c r="I199" s="2">
        <v>1687.5</v>
      </c>
      <c r="J199" s="2">
        <v>1.1571260699999999</v>
      </c>
      <c r="K199" s="2">
        <v>49157</v>
      </c>
      <c r="L199" s="2">
        <v>684894970288</v>
      </c>
      <c r="M199" s="2">
        <v>27749</v>
      </c>
      <c r="N199" s="2">
        <v>105.659854407</v>
      </c>
      <c r="O199" s="2">
        <v>4.0899999999999998E-6</v>
      </c>
      <c r="P199" s="2">
        <v>11722024</v>
      </c>
      <c r="Q199" s="2">
        <v>135</v>
      </c>
    </row>
    <row r="200" spans="1:17" x14ac:dyDescent="0.25">
      <c r="A200" s="1">
        <v>43410</v>
      </c>
      <c r="B200" s="2">
        <v>257167806.53400001</v>
      </c>
      <c r="C200" s="2">
        <v>181925698.19</v>
      </c>
      <c r="D200" s="2">
        <v>68800</v>
      </c>
      <c r="E200" s="2">
        <v>9595442196.4400005</v>
      </c>
      <c r="F200" s="2">
        <v>558.54999999999995</v>
      </c>
      <c r="G200" s="2">
        <v>958116000</v>
      </c>
      <c r="H200" s="2">
        <v>9630573822.3199997</v>
      </c>
      <c r="I200" s="2">
        <v>1862.5</v>
      </c>
      <c r="J200" s="2">
        <v>1.07491359</v>
      </c>
      <c r="K200" s="2">
        <v>50584</v>
      </c>
      <c r="L200" s="2">
        <v>624434784270</v>
      </c>
      <c r="M200" s="2">
        <v>30112</v>
      </c>
      <c r="N200" s="2">
        <v>54.5602978565</v>
      </c>
      <c r="O200" s="2">
        <v>1.9199999999999998E-6</v>
      </c>
      <c r="P200" s="2">
        <v>20499676</v>
      </c>
      <c r="Q200" s="2">
        <v>149</v>
      </c>
    </row>
    <row r="201" spans="1:17" x14ac:dyDescent="0.25">
      <c r="A201" s="1">
        <v>43409</v>
      </c>
      <c r="B201" s="2">
        <v>462040964.921</v>
      </c>
      <c r="C201" s="2">
        <v>333032094.27499998</v>
      </c>
      <c r="D201" s="2">
        <v>24781</v>
      </c>
      <c r="E201" s="2">
        <v>9727870794.5699997</v>
      </c>
      <c r="F201" s="2">
        <v>557.72</v>
      </c>
      <c r="G201" s="2">
        <v>907963000</v>
      </c>
      <c r="H201" s="2">
        <v>9610390916.4599991</v>
      </c>
      <c r="I201" s="2">
        <v>1837.5</v>
      </c>
      <c r="J201" s="2">
        <v>1.20079767</v>
      </c>
      <c r="K201" s="2">
        <v>48863</v>
      </c>
      <c r="L201" s="2">
        <v>615401851611</v>
      </c>
      <c r="M201" s="2">
        <v>29167</v>
      </c>
      <c r="N201" s="2">
        <v>82.068721088000004</v>
      </c>
      <c r="O201" s="2">
        <v>3.8999999999999999E-6</v>
      </c>
      <c r="P201" s="2">
        <v>12498234</v>
      </c>
      <c r="Q201" s="2">
        <v>147</v>
      </c>
    </row>
    <row r="202" spans="1:17" x14ac:dyDescent="0.25">
      <c r="A202" s="1">
        <v>43408</v>
      </c>
      <c r="B202" s="2">
        <v>351151606.255</v>
      </c>
      <c r="C202" s="2">
        <v>241005634.71900001</v>
      </c>
      <c r="D202" s="2">
        <v>37812</v>
      </c>
      <c r="E202" s="2">
        <v>8346021566.6499996</v>
      </c>
      <c r="F202" s="2">
        <v>478.54</v>
      </c>
      <c r="G202" s="2">
        <v>1452890000</v>
      </c>
      <c r="H202" s="2">
        <v>9781288366.9200001</v>
      </c>
      <c r="I202" s="2">
        <v>1887.5</v>
      </c>
      <c r="J202" s="2">
        <v>1.2935032200000001</v>
      </c>
      <c r="K202" s="2">
        <v>56596</v>
      </c>
      <c r="L202" s="2">
        <v>599687039870</v>
      </c>
      <c r="M202" s="2">
        <v>32643</v>
      </c>
      <c r="N202" s="2">
        <v>128.00071186</v>
      </c>
      <c r="O202" s="2">
        <v>2.2900000000000001E-6</v>
      </c>
      <c r="P202" s="2">
        <v>17383749</v>
      </c>
      <c r="Q202" s="2">
        <v>151</v>
      </c>
    </row>
    <row r="203" spans="1:17" x14ac:dyDescent="0.25">
      <c r="A203" s="1">
        <v>43407</v>
      </c>
      <c r="B203" s="2">
        <v>279458553.67500001</v>
      </c>
      <c r="C203" s="2">
        <v>141548038.535</v>
      </c>
      <c r="D203" s="2">
        <v>31871</v>
      </c>
      <c r="E203" s="2">
        <v>8052695481.2299995</v>
      </c>
      <c r="F203" s="2">
        <v>461.77</v>
      </c>
      <c r="G203" s="2">
        <v>470238000</v>
      </c>
      <c r="H203" s="2">
        <v>9768918235.1800003</v>
      </c>
      <c r="I203" s="2">
        <v>1912.5</v>
      </c>
      <c r="J203" s="2">
        <v>0.79075909</v>
      </c>
      <c r="K203" s="2">
        <v>48139</v>
      </c>
      <c r="L203" s="2">
        <v>523311991502</v>
      </c>
      <c r="M203" s="2">
        <v>31357</v>
      </c>
      <c r="N203" s="2">
        <v>4.6177000000000003E-2</v>
      </c>
      <c r="O203" s="2">
        <v>3.0599999999999999E-6</v>
      </c>
      <c r="P203" s="2">
        <v>12558966</v>
      </c>
      <c r="Q203" s="2">
        <v>153</v>
      </c>
    </row>
    <row r="204" spans="1:17" x14ac:dyDescent="0.25">
      <c r="A204" s="1">
        <v>43406</v>
      </c>
      <c r="B204" s="2">
        <v>336126422.12800002</v>
      </c>
      <c r="C204" s="2">
        <v>254970828.30199999</v>
      </c>
      <c r="D204" s="2">
        <v>78553</v>
      </c>
      <c r="E204" s="2">
        <v>7397350910.8900003</v>
      </c>
      <c r="F204" s="2">
        <v>424.24</v>
      </c>
      <c r="G204" s="2">
        <v>524499000</v>
      </c>
      <c r="H204" s="2">
        <v>9770287489.2399998</v>
      </c>
      <c r="I204" s="2">
        <v>1875</v>
      </c>
      <c r="J204" s="2">
        <v>1.0138079099999999</v>
      </c>
      <c r="K204" s="2">
        <v>38802</v>
      </c>
      <c r="L204" s="2">
        <v>487409134224</v>
      </c>
      <c r="M204" s="2">
        <v>26525</v>
      </c>
      <c r="N204" s="2">
        <v>0</v>
      </c>
      <c r="O204" s="2">
        <v>2.6000000000000001E-6</v>
      </c>
      <c r="P204" s="2">
        <v>22882591</v>
      </c>
      <c r="Q204" s="2">
        <v>150</v>
      </c>
    </row>
    <row r="205" spans="1:17" x14ac:dyDescent="0.25">
      <c r="A205" s="1">
        <v>43405</v>
      </c>
      <c r="B205" s="2">
        <v>153852116.88600001</v>
      </c>
      <c r="C205" s="2">
        <v>121017255.848</v>
      </c>
      <c r="D205" s="2">
        <v>733782</v>
      </c>
      <c r="E205" s="2">
        <v>7376151412.5</v>
      </c>
      <c r="F205" s="2">
        <v>423.07</v>
      </c>
      <c r="G205" s="2">
        <v>228640000</v>
      </c>
      <c r="H205" s="2">
        <v>9763013463.5400009</v>
      </c>
      <c r="I205" s="2">
        <v>1737.5</v>
      </c>
      <c r="J205" s="2">
        <v>2.1980762600000001</v>
      </c>
      <c r="K205" s="2">
        <v>33038</v>
      </c>
      <c r="L205" s="2">
        <v>486232537777</v>
      </c>
      <c r="M205" s="2">
        <v>52316</v>
      </c>
      <c r="N205" s="2">
        <v>0</v>
      </c>
      <c r="O205" s="2">
        <v>1.9199999999999998E-6</v>
      </c>
      <c r="P205" s="2">
        <v>156998089</v>
      </c>
      <c r="Q205" s="2">
        <v>139</v>
      </c>
    </row>
    <row r="206" spans="1:17" x14ac:dyDescent="0.25">
      <c r="A206" s="1">
        <v>43404</v>
      </c>
      <c r="B206" s="2">
        <v>220987289.42500001</v>
      </c>
      <c r="C206" s="2">
        <v>155434927.66600001</v>
      </c>
      <c r="D206" s="2">
        <v>77158</v>
      </c>
      <c r="E206" s="2">
        <v>7360755127.8500004</v>
      </c>
      <c r="F206" s="2">
        <v>422.23</v>
      </c>
      <c r="G206" s="2">
        <v>286666000</v>
      </c>
      <c r="H206" s="2">
        <v>9763652049.6000004</v>
      </c>
      <c r="I206" s="2">
        <v>1812.5</v>
      </c>
      <c r="J206" s="2">
        <v>0.75760015999999997</v>
      </c>
      <c r="K206" s="2">
        <v>34021</v>
      </c>
      <c r="L206" s="2">
        <v>474794041448</v>
      </c>
      <c r="M206" s="2">
        <v>24104</v>
      </c>
      <c r="N206" s="2">
        <v>0</v>
      </c>
      <c r="O206" s="2">
        <v>2.6000000000000001E-6</v>
      </c>
      <c r="P206" s="2">
        <v>21766645</v>
      </c>
      <c r="Q206" s="2">
        <v>145</v>
      </c>
    </row>
    <row r="207" spans="1:17" x14ac:dyDescent="0.25">
      <c r="A207" s="1">
        <v>43403</v>
      </c>
      <c r="B207" s="2">
        <v>221779093.43399999</v>
      </c>
      <c r="C207" s="2">
        <v>186017901.56799999</v>
      </c>
      <c r="D207" s="2">
        <v>27018</v>
      </c>
      <c r="E207" s="2">
        <v>7280943500.3299999</v>
      </c>
      <c r="F207" s="2">
        <v>417.69</v>
      </c>
      <c r="G207" s="2">
        <v>243462000</v>
      </c>
      <c r="H207" s="2">
        <v>9765787286.7299995</v>
      </c>
      <c r="I207" s="2">
        <v>1812.5</v>
      </c>
      <c r="J207" s="2">
        <v>0.65804249000000004</v>
      </c>
      <c r="K207" s="2">
        <v>35658</v>
      </c>
      <c r="L207" s="2">
        <v>499119807633</v>
      </c>
      <c r="M207" s="2">
        <v>20078</v>
      </c>
      <c r="N207" s="2">
        <v>4.7327409674999998</v>
      </c>
      <c r="O207" s="2">
        <v>2.6000000000000001E-6</v>
      </c>
      <c r="P207" s="2">
        <v>10444834</v>
      </c>
      <c r="Q207" s="2">
        <v>145</v>
      </c>
    </row>
    <row r="208" spans="1:17" x14ac:dyDescent="0.25">
      <c r="A208" s="1">
        <v>43402</v>
      </c>
      <c r="B208" s="2">
        <v>245614877.42199999</v>
      </c>
      <c r="C208" s="2">
        <v>129165294.044</v>
      </c>
      <c r="D208" s="2">
        <v>17949</v>
      </c>
      <c r="E208" s="2">
        <v>7672642062.0200005</v>
      </c>
      <c r="F208" s="2">
        <v>440.21</v>
      </c>
      <c r="G208" s="2">
        <v>294419000</v>
      </c>
      <c r="H208" s="2">
        <v>9767870068.2600002</v>
      </c>
      <c r="I208" s="2">
        <v>1875</v>
      </c>
      <c r="J208" s="2">
        <v>0.80785925000000003</v>
      </c>
      <c r="K208" s="2">
        <v>48521</v>
      </c>
      <c r="L208" s="2">
        <v>471402435600</v>
      </c>
      <c r="M208" s="2">
        <v>23139</v>
      </c>
      <c r="N208" s="2">
        <v>32.314816823299999</v>
      </c>
      <c r="O208" s="2">
        <v>4.5199999999999999E-6</v>
      </c>
      <c r="P208" s="2">
        <v>10962397</v>
      </c>
      <c r="Q208" s="2">
        <v>150</v>
      </c>
    </row>
    <row r="209" spans="1:17" x14ac:dyDescent="0.25">
      <c r="A209" s="1">
        <v>43401</v>
      </c>
      <c r="B209" s="2">
        <v>112514755.80599999</v>
      </c>
      <c r="C209" s="2">
        <v>82613445.172199994</v>
      </c>
      <c r="D209" s="2">
        <v>14168</v>
      </c>
      <c r="E209" s="2">
        <v>7648868727.8800001</v>
      </c>
      <c r="F209" s="2">
        <v>438.89</v>
      </c>
      <c r="G209" s="2">
        <v>226911000</v>
      </c>
      <c r="H209" s="2">
        <v>9780016916.4799995</v>
      </c>
      <c r="I209" s="2">
        <v>1737.5</v>
      </c>
      <c r="J209" s="2">
        <v>0.51379300000000006</v>
      </c>
      <c r="K209" s="2">
        <v>29539</v>
      </c>
      <c r="L209" s="2">
        <v>491415731509</v>
      </c>
      <c r="M209" s="2">
        <v>18942</v>
      </c>
      <c r="N209" s="2">
        <v>16.4156841697</v>
      </c>
      <c r="O209" s="2">
        <v>3.9600000000000002E-6</v>
      </c>
      <c r="P209" s="2">
        <v>6265285</v>
      </c>
      <c r="Q209" s="2">
        <v>139</v>
      </c>
    </row>
    <row r="210" spans="1:17" x14ac:dyDescent="0.25">
      <c r="A210" s="1">
        <v>43400</v>
      </c>
      <c r="B210" s="2">
        <v>117977235.522</v>
      </c>
      <c r="C210" s="2">
        <v>87143249.421399996</v>
      </c>
      <c r="D210" s="2">
        <v>23355</v>
      </c>
      <c r="E210" s="2">
        <v>7642930887.0299997</v>
      </c>
      <c r="F210" s="2">
        <v>438.6</v>
      </c>
      <c r="G210" s="2">
        <v>235687000</v>
      </c>
      <c r="H210" s="2">
        <v>9787514545.0900002</v>
      </c>
      <c r="I210" s="2">
        <v>1762.5</v>
      </c>
      <c r="J210" s="2">
        <v>0.55650650000000002</v>
      </c>
      <c r="K210" s="2">
        <v>34749</v>
      </c>
      <c r="L210" s="2">
        <v>496077429569</v>
      </c>
      <c r="M210" s="2">
        <v>19316</v>
      </c>
      <c r="N210" s="2">
        <v>0.250502004</v>
      </c>
      <c r="O210" s="2">
        <v>2.6000000000000001E-6</v>
      </c>
      <c r="P210" s="2">
        <v>9331879</v>
      </c>
      <c r="Q210" s="2">
        <v>141</v>
      </c>
    </row>
    <row r="211" spans="1:17" x14ac:dyDescent="0.25">
      <c r="A211" s="1">
        <v>43399</v>
      </c>
      <c r="B211" s="2">
        <v>159552080.41299999</v>
      </c>
      <c r="C211" s="2">
        <v>137792159.10499999</v>
      </c>
      <c r="D211" s="2">
        <v>16427</v>
      </c>
      <c r="E211" s="2">
        <v>7651265303.25</v>
      </c>
      <c r="F211" s="2">
        <v>439.12</v>
      </c>
      <c r="G211" s="2">
        <v>259970000</v>
      </c>
      <c r="H211" s="2">
        <v>9801025688.1000004</v>
      </c>
      <c r="I211" s="2">
        <v>1600</v>
      </c>
      <c r="J211" s="2">
        <v>0.73555356999999999</v>
      </c>
      <c r="K211" s="2">
        <v>34532</v>
      </c>
      <c r="L211" s="2">
        <v>535135948703</v>
      </c>
      <c r="M211" s="2">
        <v>23572</v>
      </c>
      <c r="N211" s="2">
        <v>14.817226160000001</v>
      </c>
      <c r="O211" s="2">
        <v>3.7799999999999998E-6</v>
      </c>
      <c r="P211" s="2">
        <v>8490423</v>
      </c>
      <c r="Q211" s="2">
        <v>128</v>
      </c>
    </row>
    <row r="212" spans="1:17" x14ac:dyDescent="0.25">
      <c r="A212" s="1">
        <v>43398</v>
      </c>
      <c r="B212" s="2">
        <v>294924992.99199998</v>
      </c>
      <c r="C212" s="2">
        <v>228669705.95500001</v>
      </c>
      <c r="D212" s="2">
        <v>25210</v>
      </c>
      <c r="E212" s="2">
        <v>7703858023.4499998</v>
      </c>
      <c r="F212" s="2">
        <v>442.18</v>
      </c>
      <c r="G212" s="2">
        <v>226378000</v>
      </c>
      <c r="H212" s="2">
        <v>9804219010.2099991</v>
      </c>
      <c r="I212" s="2">
        <v>1950</v>
      </c>
      <c r="J212" s="2">
        <v>0.62469165000000004</v>
      </c>
      <c r="K212" s="2">
        <v>32745</v>
      </c>
      <c r="L212" s="2">
        <v>492046141451</v>
      </c>
      <c r="M212" s="2">
        <v>22295</v>
      </c>
      <c r="N212" s="2">
        <v>1.0144360906000001</v>
      </c>
      <c r="O212" s="2">
        <v>2.6000000000000001E-6</v>
      </c>
      <c r="P212" s="2">
        <v>12900541</v>
      </c>
      <c r="Q212" s="2">
        <v>156</v>
      </c>
    </row>
    <row r="213" spans="1:17" x14ac:dyDescent="0.25">
      <c r="A213" s="1">
        <v>43397</v>
      </c>
      <c r="B213" s="2">
        <v>66532102.963699996</v>
      </c>
      <c r="C213" s="2">
        <v>55259596.4859</v>
      </c>
      <c r="D213" s="2">
        <v>24112</v>
      </c>
      <c r="E213" s="2">
        <v>7687096601.8400002</v>
      </c>
      <c r="F213" s="2">
        <v>441.27</v>
      </c>
      <c r="G213" s="2">
        <v>249002000</v>
      </c>
      <c r="H213" s="2">
        <v>9861252131.1499996</v>
      </c>
      <c r="I213" s="2">
        <v>1812.5</v>
      </c>
      <c r="J213" s="2">
        <v>2.87901791</v>
      </c>
      <c r="K213" s="2">
        <v>42299</v>
      </c>
      <c r="L213" s="2">
        <v>515566771705</v>
      </c>
      <c r="M213" s="2">
        <v>23579</v>
      </c>
      <c r="N213" s="2">
        <v>3.4595568000000001</v>
      </c>
      <c r="O213" s="2">
        <v>3.72E-6</v>
      </c>
      <c r="P213" s="2">
        <v>27665178</v>
      </c>
      <c r="Q213" s="2">
        <v>145</v>
      </c>
    </row>
    <row r="214" spans="1:17" x14ac:dyDescent="0.25">
      <c r="A214" s="1">
        <v>43396</v>
      </c>
      <c r="B214" s="2">
        <v>229634309.03200001</v>
      </c>
      <c r="C214" s="2">
        <v>117086250.633</v>
      </c>
      <c r="D214" s="2">
        <v>20699</v>
      </c>
      <c r="E214" s="2">
        <v>7789219241.3299999</v>
      </c>
      <c r="F214" s="2">
        <v>447.17</v>
      </c>
      <c r="G214" s="2">
        <v>262509000</v>
      </c>
      <c r="H214" s="2">
        <v>9863385879.2600002</v>
      </c>
      <c r="I214" s="2">
        <v>1725</v>
      </c>
      <c r="J214" s="2">
        <v>0.63258327000000003</v>
      </c>
      <c r="K214" s="2">
        <v>34133</v>
      </c>
      <c r="L214" s="2">
        <v>492294046629</v>
      </c>
      <c r="M214" s="2">
        <v>23064</v>
      </c>
      <c r="N214" s="2">
        <v>1.8781140000000001</v>
      </c>
      <c r="O214" s="2">
        <v>2.6000000000000001E-6</v>
      </c>
      <c r="P214" s="2">
        <v>8517557</v>
      </c>
      <c r="Q214" s="2">
        <v>138</v>
      </c>
    </row>
    <row r="215" spans="1:17" x14ac:dyDescent="0.25">
      <c r="A215" s="1">
        <v>43395</v>
      </c>
      <c r="B215" s="2">
        <v>72479408.486900002</v>
      </c>
      <c r="C215" s="2">
        <v>59524819.717</v>
      </c>
      <c r="D215" s="2">
        <v>26263</v>
      </c>
      <c r="E215" s="2">
        <v>7788731235.9700003</v>
      </c>
      <c r="F215" s="2">
        <v>447.19</v>
      </c>
      <c r="G215" s="2">
        <v>261566000</v>
      </c>
      <c r="H215" s="2">
        <v>9901662977.1399994</v>
      </c>
      <c r="I215" s="2">
        <v>1937.5</v>
      </c>
      <c r="J215" s="2">
        <v>0.67379871999999996</v>
      </c>
      <c r="K215" s="2">
        <v>36048</v>
      </c>
      <c r="L215" s="2">
        <v>513061410411</v>
      </c>
      <c r="M215" s="2">
        <v>25652</v>
      </c>
      <c r="N215" s="2">
        <v>0.23477475</v>
      </c>
      <c r="O215" s="2">
        <v>2.6000000000000001E-6</v>
      </c>
      <c r="P215" s="2">
        <v>10487422</v>
      </c>
      <c r="Q215" s="2">
        <v>155</v>
      </c>
    </row>
    <row r="216" spans="1:17" x14ac:dyDescent="0.25">
      <c r="A216" s="1">
        <v>43394</v>
      </c>
      <c r="B216" s="2">
        <v>75835166.893399999</v>
      </c>
      <c r="C216" s="2">
        <v>64250395.790799998</v>
      </c>
      <c r="D216" s="2">
        <v>31552</v>
      </c>
      <c r="E216" s="2">
        <v>7793960068.6999998</v>
      </c>
      <c r="F216" s="2">
        <v>447.54</v>
      </c>
      <c r="G216" s="2">
        <v>295702000</v>
      </c>
      <c r="H216" s="2">
        <v>9902634495.1299992</v>
      </c>
      <c r="I216" s="2">
        <v>1625</v>
      </c>
      <c r="J216" s="2">
        <v>0.57941609999999999</v>
      </c>
      <c r="K216" s="2">
        <v>36669</v>
      </c>
      <c r="L216" s="2">
        <v>521715635604</v>
      </c>
      <c r="M216" s="2">
        <v>20463</v>
      </c>
      <c r="N216" s="2">
        <v>0</v>
      </c>
      <c r="O216" s="2">
        <v>2.6000000000000001E-6</v>
      </c>
      <c r="P216" s="2">
        <v>11405453</v>
      </c>
      <c r="Q216" s="2">
        <v>130</v>
      </c>
    </row>
    <row r="217" spans="1:17" x14ac:dyDescent="0.25">
      <c r="A217" s="1">
        <v>43393</v>
      </c>
      <c r="B217" s="2">
        <v>150426710.05700001</v>
      </c>
      <c r="C217" s="2">
        <v>124795627.917</v>
      </c>
      <c r="D217" s="2">
        <v>32530</v>
      </c>
      <c r="E217" s="2">
        <v>7677153490.0500002</v>
      </c>
      <c r="F217" s="2">
        <v>440.87</v>
      </c>
      <c r="G217" s="2">
        <v>266812000</v>
      </c>
      <c r="H217" s="2">
        <v>9907305351.6200008</v>
      </c>
      <c r="I217" s="2">
        <v>1850</v>
      </c>
      <c r="J217" s="2">
        <v>0.58087246000000003</v>
      </c>
      <c r="K217" s="2">
        <v>30601</v>
      </c>
      <c r="L217" s="2">
        <v>484445985254</v>
      </c>
      <c r="M217" s="2">
        <v>20161</v>
      </c>
      <c r="N217" s="2">
        <v>0</v>
      </c>
      <c r="O217" s="2">
        <v>2.6000000000000001E-6</v>
      </c>
      <c r="P217" s="2">
        <v>10242001</v>
      </c>
      <c r="Q217" s="2">
        <v>148</v>
      </c>
    </row>
    <row r="218" spans="1:17" x14ac:dyDescent="0.25">
      <c r="A218" s="1">
        <v>43392</v>
      </c>
      <c r="B218" s="2">
        <v>145987671.023</v>
      </c>
      <c r="C218" s="2">
        <v>101709673.858</v>
      </c>
      <c r="D218" s="2">
        <v>40161</v>
      </c>
      <c r="E218" s="2">
        <v>7631609151.2700005</v>
      </c>
      <c r="F218" s="2">
        <v>438.31</v>
      </c>
      <c r="G218" s="2">
        <v>303766000</v>
      </c>
      <c r="H218" s="2">
        <v>9985322338.5</v>
      </c>
      <c r="I218" s="2">
        <v>1812.5</v>
      </c>
      <c r="J218" s="2">
        <v>0.74555446999999997</v>
      </c>
      <c r="K218" s="2">
        <v>40294</v>
      </c>
      <c r="L218" s="2">
        <v>490910694910</v>
      </c>
      <c r="M218" s="2">
        <v>26472</v>
      </c>
      <c r="N218" s="2">
        <v>0</v>
      </c>
      <c r="O218" s="2">
        <v>2.6000000000000001E-6</v>
      </c>
      <c r="P218" s="2">
        <v>13140206</v>
      </c>
      <c r="Q218" s="2">
        <v>145</v>
      </c>
    </row>
    <row r="219" spans="1:17" x14ac:dyDescent="0.25">
      <c r="A219" s="1">
        <v>43391</v>
      </c>
      <c r="B219" s="2">
        <v>365305613.83499998</v>
      </c>
      <c r="C219" s="2">
        <v>234258616.93900001</v>
      </c>
      <c r="D219" s="2">
        <v>16762</v>
      </c>
      <c r="E219" s="2">
        <v>7820735549.8100004</v>
      </c>
      <c r="F219" s="2">
        <v>449.22</v>
      </c>
      <c r="G219" s="2">
        <v>327540000</v>
      </c>
      <c r="H219" s="2">
        <v>10004631647.6</v>
      </c>
      <c r="I219" s="2">
        <v>1800</v>
      </c>
      <c r="J219" s="2">
        <v>1.1342214799999999</v>
      </c>
      <c r="K219" s="2">
        <v>42079</v>
      </c>
      <c r="L219" s="2">
        <v>545281265999</v>
      </c>
      <c r="M219" s="2">
        <v>22537</v>
      </c>
      <c r="N219" s="2">
        <v>25.831340433000001</v>
      </c>
      <c r="O219" s="2">
        <v>3.8999999999999999E-6</v>
      </c>
      <c r="P219" s="2">
        <v>9935073</v>
      </c>
      <c r="Q219" s="2">
        <v>144</v>
      </c>
    </row>
    <row r="220" spans="1:17" x14ac:dyDescent="0.25">
      <c r="A220" s="1">
        <v>43390</v>
      </c>
      <c r="B220" s="2">
        <v>270696017.90899998</v>
      </c>
      <c r="C220" s="2">
        <v>165940084.52200001</v>
      </c>
      <c r="D220" s="2">
        <v>16609</v>
      </c>
      <c r="E220" s="2">
        <v>7987708458.8900003</v>
      </c>
      <c r="F220" s="2">
        <v>458.85</v>
      </c>
      <c r="G220" s="2">
        <v>292950000</v>
      </c>
      <c r="H220" s="2">
        <v>10036360474.9</v>
      </c>
      <c r="I220" s="2">
        <v>1812.5</v>
      </c>
      <c r="J220" s="2">
        <v>0.76519378999999998</v>
      </c>
      <c r="K220" s="2">
        <v>33064</v>
      </c>
      <c r="L220" s="2">
        <v>500686952262</v>
      </c>
      <c r="M220" s="2">
        <v>20810</v>
      </c>
      <c r="N220" s="2">
        <v>23.754072583500001</v>
      </c>
      <c r="O220" s="2">
        <v>3.8199999999999998E-6</v>
      </c>
      <c r="P220" s="2">
        <v>7190870</v>
      </c>
      <c r="Q220" s="2">
        <v>145</v>
      </c>
    </row>
    <row r="221" spans="1:17" x14ac:dyDescent="0.25">
      <c r="A221" s="1">
        <v>43389</v>
      </c>
      <c r="B221" s="2">
        <v>334550356.898</v>
      </c>
      <c r="C221" s="2">
        <v>234939835.62799999</v>
      </c>
      <c r="D221" s="2">
        <v>23488</v>
      </c>
      <c r="E221" s="2">
        <v>7995027730.0699997</v>
      </c>
      <c r="F221" s="2">
        <v>459.32</v>
      </c>
      <c r="G221" s="2">
        <v>302192000</v>
      </c>
      <c r="H221" s="2">
        <v>10044180562.9</v>
      </c>
      <c r="I221" s="2">
        <v>1787.5</v>
      </c>
      <c r="J221" s="2">
        <v>0.73822756</v>
      </c>
      <c r="K221" s="2">
        <v>36884</v>
      </c>
      <c r="L221" s="2">
        <v>516994448712</v>
      </c>
      <c r="M221" s="2">
        <v>24727</v>
      </c>
      <c r="N221" s="2">
        <v>2.575682832</v>
      </c>
      <c r="O221" s="2">
        <v>2.6000000000000001E-6</v>
      </c>
      <c r="P221" s="2">
        <v>8963239</v>
      </c>
      <c r="Q221" s="2">
        <v>143</v>
      </c>
    </row>
    <row r="222" spans="1:17" x14ac:dyDescent="0.25">
      <c r="A222" s="1">
        <v>43388</v>
      </c>
      <c r="B222" s="2">
        <v>392151100.713</v>
      </c>
      <c r="C222" s="2">
        <v>118105217.079</v>
      </c>
      <c r="D222" s="2">
        <v>21859</v>
      </c>
      <c r="E222" s="2">
        <v>7634445712.8500004</v>
      </c>
      <c r="F222" s="2">
        <v>438.65</v>
      </c>
      <c r="G222" s="2">
        <v>571575000</v>
      </c>
      <c r="H222" s="2">
        <v>10074449288.1</v>
      </c>
      <c r="I222" s="2">
        <v>1737.5</v>
      </c>
      <c r="J222" s="2">
        <v>1.06417636</v>
      </c>
      <c r="K222" s="2">
        <v>42678</v>
      </c>
      <c r="L222" s="2">
        <v>512536389586</v>
      </c>
      <c r="M222" s="2">
        <v>26322</v>
      </c>
      <c r="N222" s="2">
        <v>2.8060089580000001</v>
      </c>
      <c r="O222" s="2">
        <v>2.4600000000000002E-6</v>
      </c>
      <c r="P222" s="2">
        <v>9303807</v>
      </c>
      <c r="Q222" s="2">
        <v>139</v>
      </c>
    </row>
    <row r="223" spans="1:17" x14ac:dyDescent="0.25">
      <c r="A223" s="1">
        <v>43387</v>
      </c>
      <c r="B223" s="2">
        <v>335709985.83399999</v>
      </c>
      <c r="C223" s="2">
        <v>115793217.292</v>
      </c>
      <c r="D223" s="2">
        <v>15948</v>
      </c>
      <c r="E223" s="2">
        <v>7799764734.0100002</v>
      </c>
      <c r="F223" s="2">
        <v>448.19</v>
      </c>
      <c r="G223" s="2">
        <v>242400000</v>
      </c>
      <c r="H223" s="2">
        <v>10077812759</v>
      </c>
      <c r="I223" s="2">
        <v>1825</v>
      </c>
      <c r="J223" s="2">
        <v>0.53098045999999999</v>
      </c>
      <c r="K223" s="2">
        <v>29547</v>
      </c>
      <c r="L223" s="2">
        <v>527365182871</v>
      </c>
      <c r="M223" s="2">
        <v>22068</v>
      </c>
      <c r="N223" s="2">
        <v>4.6823036766000001</v>
      </c>
      <c r="O223" s="2">
        <v>4.5199999999999999E-6</v>
      </c>
      <c r="P223" s="2">
        <v>7395428</v>
      </c>
      <c r="Q223" s="2">
        <v>146</v>
      </c>
    </row>
    <row r="224" spans="1:17" x14ac:dyDescent="0.25">
      <c r="A224" s="1">
        <v>43386</v>
      </c>
      <c r="B224" s="2">
        <v>78711889.462500006</v>
      </c>
      <c r="C224" s="2">
        <v>45789385.669500001</v>
      </c>
      <c r="D224" s="2">
        <v>15341</v>
      </c>
      <c r="E224" s="2">
        <v>7711692083.6300001</v>
      </c>
      <c r="F224" s="2">
        <v>443.18</v>
      </c>
      <c r="G224" s="2">
        <v>245372000</v>
      </c>
      <c r="H224" s="2">
        <v>10089434089.6</v>
      </c>
      <c r="I224" s="2">
        <v>1887.5</v>
      </c>
      <c r="J224" s="2">
        <v>0.45983114000000003</v>
      </c>
      <c r="K224" s="2">
        <v>30241</v>
      </c>
      <c r="L224" s="2">
        <v>527635354009</v>
      </c>
      <c r="M224" s="2">
        <v>20312</v>
      </c>
      <c r="N224" s="2">
        <v>11.495149658400001</v>
      </c>
      <c r="O224" s="2">
        <v>5.4099999999999999E-6</v>
      </c>
      <c r="P224" s="2">
        <v>6675073</v>
      </c>
      <c r="Q224" s="2">
        <v>151</v>
      </c>
    </row>
    <row r="225" spans="1:17" x14ac:dyDescent="0.25">
      <c r="A225" s="1">
        <v>43385</v>
      </c>
      <c r="B225" s="2">
        <v>97282568.857899994</v>
      </c>
      <c r="C225" s="2">
        <v>66620470.493299998</v>
      </c>
      <c r="D225" s="2">
        <v>15168</v>
      </c>
      <c r="E225" s="2">
        <v>7487610480.6000004</v>
      </c>
      <c r="F225" s="2">
        <v>430.35</v>
      </c>
      <c r="G225" s="2">
        <v>289722000</v>
      </c>
      <c r="H225" s="2">
        <v>10090850574.1</v>
      </c>
      <c r="I225" s="2">
        <v>1700</v>
      </c>
      <c r="J225" s="2">
        <v>0.59540296999999998</v>
      </c>
      <c r="K225" s="2">
        <v>32489</v>
      </c>
      <c r="L225" s="2">
        <v>527534015599</v>
      </c>
      <c r="M225" s="2">
        <v>20010</v>
      </c>
      <c r="N225" s="2">
        <v>24.467149024499999</v>
      </c>
      <c r="O225" s="2">
        <v>3.8199999999999998E-6</v>
      </c>
      <c r="P225" s="2">
        <v>6828402</v>
      </c>
      <c r="Q225" s="2">
        <v>136</v>
      </c>
    </row>
    <row r="226" spans="1:17" x14ac:dyDescent="0.25">
      <c r="A226" s="1">
        <v>43384</v>
      </c>
      <c r="B226" s="2">
        <v>287475177.21700001</v>
      </c>
      <c r="C226" s="2">
        <v>148421210.67500001</v>
      </c>
      <c r="D226" s="2">
        <v>16451</v>
      </c>
      <c r="E226" s="2">
        <v>8903322554.4699993</v>
      </c>
      <c r="F226" s="2">
        <v>511.77</v>
      </c>
      <c r="G226" s="2">
        <v>487652000</v>
      </c>
      <c r="H226" s="2">
        <v>10107274913.6</v>
      </c>
      <c r="I226" s="2">
        <v>1675</v>
      </c>
      <c r="J226" s="2">
        <v>1.18687673</v>
      </c>
      <c r="K226" s="2">
        <v>38735</v>
      </c>
      <c r="L226" s="2">
        <v>543664188311</v>
      </c>
      <c r="M226" s="2">
        <v>20198</v>
      </c>
      <c r="N226" s="2">
        <v>46.828306072799997</v>
      </c>
      <c r="O226" s="2">
        <v>3.7900000000000001E-6</v>
      </c>
      <c r="P226" s="2">
        <v>11201250</v>
      </c>
      <c r="Q226" s="2">
        <v>134</v>
      </c>
    </row>
    <row r="227" spans="1:17" x14ac:dyDescent="0.25">
      <c r="A227" s="1">
        <v>43383</v>
      </c>
      <c r="B227" s="2">
        <v>194908898.24399999</v>
      </c>
      <c r="C227" s="2">
        <v>165120879.13600001</v>
      </c>
      <c r="D227" s="2">
        <v>13543</v>
      </c>
      <c r="E227" s="2">
        <v>8987661411.1200008</v>
      </c>
      <c r="F227" s="2">
        <v>516.66</v>
      </c>
      <c r="G227" s="2">
        <v>369806000</v>
      </c>
      <c r="H227" s="2">
        <v>10146539928.1</v>
      </c>
      <c r="I227" s="2">
        <v>1912.5</v>
      </c>
      <c r="J227" s="2">
        <v>0.47786064</v>
      </c>
      <c r="K227" s="2">
        <v>31605</v>
      </c>
      <c r="L227" s="2">
        <v>567954524820</v>
      </c>
      <c r="M227" s="2">
        <v>19259</v>
      </c>
      <c r="N227" s="2">
        <v>41.167324135199998</v>
      </c>
      <c r="O227" s="2">
        <v>3.8099999999999999E-6</v>
      </c>
      <c r="P227" s="2">
        <v>8046304</v>
      </c>
      <c r="Q227" s="2">
        <v>153</v>
      </c>
    </row>
    <row r="228" spans="1:17" x14ac:dyDescent="0.25">
      <c r="A228" s="1">
        <v>43382</v>
      </c>
      <c r="B228" s="2">
        <v>157432314.21700001</v>
      </c>
      <c r="C228" s="2">
        <v>141297875.13299999</v>
      </c>
      <c r="D228" s="2">
        <v>13674</v>
      </c>
      <c r="E228" s="2">
        <v>9164714185.5100002</v>
      </c>
      <c r="F228" s="2">
        <v>526.9</v>
      </c>
      <c r="G228" s="2">
        <v>372000000</v>
      </c>
      <c r="H228" s="2">
        <v>10155668320</v>
      </c>
      <c r="I228" s="2">
        <v>1762.5</v>
      </c>
      <c r="J228" s="2">
        <v>0.63614521999999996</v>
      </c>
      <c r="K228" s="2">
        <v>29250</v>
      </c>
      <c r="L228" s="2">
        <v>574822423765</v>
      </c>
      <c r="M228" s="2">
        <v>19147</v>
      </c>
      <c r="N228" s="2">
        <v>25.521797785</v>
      </c>
      <c r="O228" s="2">
        <v>3.8500000000000004E-6</v>
      </c>
      <c r="P228" s="2">
        <v>5923064</v>
      </c>
      <c r="Q228" s="2">
        <v>141</v>
      </c>
    </row>
    <row r="229" spans="1:17" x14ac:dyDescent="0.25">
      <c r="A229" s="1">
        <v>43381</v>
      </c>
      <c r="B229" s="2">
        <v>92014971.553599998</v>
      </c>
      <c r="C229" s="2">
        <v>70395230.564099997</v>
      </c>
      <c r="D229" s="2">
        <v>19108</v>
      </c>
      <c r="E229" s="2">
        <v>9021260693.6700001</v>
      </c>
      <c r="F229" s="2">
        <v>518.71</v>
      </c>
      <c r="G229" s="2">
        <v>397869000</v>
      </c>
      <c r="H229" s="2">
        <v>10165383885.200001</v>
      </c>
      <c r="I229" s="2">
        <v>1737.5</v>
      </c>
      <c r="J229" s="2">
        <v>0.56201690999999998</v>
      </c>
      <c r="K229" s="2">
        <v>30401</v>
      </c>
      <c r="L229" s="2">
        <v>572534718157</v>
      </c>
      <c r="M229" s="2">
        <v>18347</v>
      </c>
      <c r="N229" s="2">
        <v>1.9508527487</v>
      </c>
      <c r="O229" s="2">
        <v>2.6000000000000001E-6</v>
      </c>
      <c r="P229" s="2">
        <v>8041706</v>
      </c>
      <c r="Q229" s="2">
        <v>139</v>
      </c>
    </row>
    <row r="230" spans="1:17" x14ac:dyDescent="0.25">
      <c r="A230" s="1">
        <v>43380</v>
      </c>
      <c r="B230" s="2">
        <v>50923817.234200001</v>
      </c>
      <c r="C230" s="2">
        <v>40224311.831100002</v>
      </c>
      <c r="D230" s="2">
        <v>24237</v>
      </c>
      <c r="E230" s="2">
        <v>8862507890.9500008</v>
      </c>
      <c r="F230" s="2">
        <v>509.63</v>
      </c>
      <c r="G230" s="2">
        <v>382426000</v>
      </c>
      <c r="H230" s="2">
        <v>10165656823.299999</v>
      </c>
      <c r="I230" s="2">
        <v>1725</v>
      </c>
      <c r="J230" s="2">
        <v>0.48307049000000002</v>
      </c>
      <c r="K230" s="2">
        <v>27786</v>
      </c>
      <c r="L230" s="2">
        <v>578524721192</v>
      </c>
      <c r="M230" s="2">
        <v>29298</v>
      </c>
      <c r="N230" s="2">
        <v>0.253642851</v>
      </c>
      <c r="O230" s="2">
        <v>2.6000000000000001E-6</v>
      </c>
      <c r="P230" s="2">
        <v>9837663</v>
      </c>
      <c r="Q230" s="2">
        <v>138</v>
      </c>
    </row>
    <row r="231" spans="1:17" x14ac:dyDescent="0.25">
      <c r="A231" s="1">
        <v>43379</v>
      </c>
      <c r="B231" s="2">
        <v>56160502.592200004</v>
      </c>
      <c r="C231" s="2">
        <v>40709395.693999998</v>
      </c>
      <c r="D231" s="2">
        <v>15070</v>
      </c>
      <c r="E231" s="2">
        <v>9040661024.7700005</v>
      </c>
      <c r="F231" s="2">
        <v>519.91999999999996</v>
      </c>
      <c r="G231" s="2">
        <v>391070000</v>
      </c>
      <c r="H231" s="2">
        <v>10166083516</v>
      </c>
      <c r="I231" s="2">
        <v>1812.5</v>
      </c>
      <c r="J231" s="2">
        <v>0.81669049000000005</v>
      </c>
      <c r="K231" s="2">
        <v>35510</v>
      </c>
      <c r="L231" s="2">
        <v>563617268327</v>
      </c>
      <c r="M231" s="2">
        <v>19263</v>
      </c>
      <c r="N231" s="2">
        <v>16.511099439999999</v>
      </c>
      <c r="O231" s="2">
        <v>3.2399999999999999E-6</v>
      </c>
      <c r="P231" s="2">
        <v>6847554</v>
      </c>
      <c r="Q231" s="2">
        <v>145</v>
      </c>
    </row>
    <row r="232" spans="1:17" x14ac:dyDescent="0.25">
      <c r="A232" s="1">
        <v>43378</v>
      </c>
      <c r="B232" s="2">
        <v>101757371.193</v>
      </c>
      <c r="C232" s="2">
        <v>76348115.738399997</v>
      </c>
      <c r="D232" s="2">
        <v>14125</v>
      </c>
      <c r="E232" s="2">
        <v>8935031649.6200008</v>
      </c>
      <c r="F232" s="2">
        <v>513.9</v>
      </c>
      <c r="G232" s="2">
        <v>384914000</v>
      </c>
      <c r="H232" s="2">
        <v>10167737255.6</v>
      </c>
      <c r="I232" s="2">
        <v>1875</v>
      </c>
      <c r="J232" s="2">
        <v>0.57037221000000005</v>
      </c>
      <c r="K232" s="2">
        <v>36086</v>
      </c>
      <c r="L232" s="2">
        <v>566017338393</v>
      </c>
      <c r="M232" s="2">
        <v>21713</v>
      </c>
      <c r="N232" s="2">
        <v>28.216743272999999</v>
      </c>
      <c r="O232" s="2">
        <v>3.3500000000000001E-6</v>
      </c>
      <c r="P232" s="2">
        <v>7137234</v>
      </c>
      <c r="Q232" s="2">
        <v>150</v>
      </c>
    </row>
    <row r="233" spans="1:17" x14ac:dyDescent="0.25">
      <c r="A233" s="1">
        <v>43377</v>
      </c>
      <c r="B233" s="2">
        <v>1405539832.8800001</v>
      </c>
      <c r="C233" s="2">
        <v>149708905.09099999</v>
      </c>
      <c r="D233" s="2">
        <v>13627</v>
      </c>
      <c r="E233" s="2">
        <v>8984258493</v>
      </c>
      <c r="F233" s="2">
        <v>516.79</v>
      </c>
      <c r="G233" s="2">
        <v>466791000</v>
      </c>
      <c r="H233" s="2">
        <v>10168306604.700001</v>
      </c>
      <c r="I233" s="2">
        <v>1875</v>
      </c>
      <c r="J233" s="2">
        <v>0.97111769000000003</v>
      </c>
      <c r="K233" s="2">
        <v>39428</v>
      </c>
      <c r="L233" s="2">
        <v>570533937589</v>
      </c>
      <c r="M233" s="2">
        <v>18752</v>
      </c>
      <c r="N233" s="2">
        <v>49.855382455399997</v>
      </c>
      <c r="O233" s="2">
        <v>3.76E-6</v>
      </c>
      <c r="P233" s="2">
        <v>10875888</v>
      </c>
      <c r="Q233" s="2">
        <v>150</v>
      </c>
    </row>
    <row r="234" spans="1:17" x14ac:dyDescent="0.25">
      <c r="A234" s="1">
        <v>43376</v>
      </c>
      <c r="B234" s="2">
        <v>115269400.14399999</v>
      </c>
      <c r="C234" s="2">
        <v>99831430.330300003</v>
      </c>
      <c r="D234" s="2">
        <v>17439</v>
      </c>
      <c r="E234" s="2">
        <v>9241514825.9699993</v>
      </c>
      <c r="F234" s="2">
        <v>531.64</v>
      </c>
      <c r="G234" s="2">
        <v>512420000</v>
      </c>
      <c r="H234" s="2">
        <v>10171968712.4</v>
      </c>
      <c r="I234" s="2">
        <v>1787.5</v>
      </c>
      <c r="J234" s="2">
        <v>0.70006075000000001</v>
      </c>
      <c r="K234" s="2">
        <v>34888</v>
      </c>
      <c r="L234" s="2">
        <v>557253301616</v>
      </c>
      <c r="M234" s="2">
        <v>21437</v>
      </c>
      <c r="N234" s="2">
        <v>7.6274443963999996</v>
      </c>
      <c r="O234" s="2">
        <v>3.7400000000000002E-6</v>
      </c>
      <c r="P234" s="2">
        <v>7410929</v>
      </c>
      <c r="Q234" s="2">
        <v>143</v>
      </c>
    </row>
    <row r="235" spans="1:17" x14ac:dyDescent="0.25">
      <c r="A235" s="1">
        <v>43375</v>
      </c>
      <c r="B235" s="2">
        <v>124394498.713</v>
      </c>
      <c r="C235" s="2">
        <v>94284014.717500001</v>
      </c>
      <c r="D235" s="2">
        <v>25367</v>
      </c>
      <c r="E235" s="2">
        <v>9232044547.8799992</v>
      </c>
      <c r="F235" s="2">
        <v>531.15</v>
      </c>
      <c r="G235" s="2">
        <v>536291000</v>
      </c>
      <c r="H235" s="2">
        <v>10178602980.5</v>
      </c>
      <c r="I235" s="2">
        <v>1787.5</v>
      </c>
      <c r="J235" s="2">
        <v>0.61795794000000004</v>
      </c>
      <c r="K235" s="2">
        <v>34386</v>
      </c>
      <c r="L235" s="2">
        <v>566775054475</v>
      </c>
      <c r="M235" s="2">
        <v>19720</v>
      </c>
      <c r="N235" s="2">
        <v>5.3115000000000002E-2</v>
      </c>
      <c r="O235" s="2">
        <v>2.6000000000000001E-6</v>
      </c>
      <c r="P235" s="2">
        <v>9574780</v>
      </c>
      <c r="Q235" s="2">
        <v>143</v>
      </c>
    </row>
    <row r="236" spans="1:17" x14ac:dyDescent="0.25">
      <c r="A236" s="1">
        <v>43374</v>
      </c>
      <c r="B236" s="2">
        <v>128367874.439</v>
      </c>
      <c r="C236" s="2">
        <v>99219723.567499995</v>
      </c>
      <c r="D236" s="2">
        <v>288522</v>
      </c>
      <c r="E236" s="2">
        <v>9239594019.4599991</v>
      </c>
      <c r="F236" s="2">
        <v>531.64</v>
      </c>
      <c r="G236" s="2">
        <v>450906000</v>
      </c>
      <c r="H236" s="2">
        <v>10176472526.200001</v>
      </c>
      <c r="I236" s="2">
        <v>1737.5</v>
      </c>
      <c r="J236" s="2">
        <v>1.3103809500000001</v>
      </c>
      <c r="K236" s="2">
        <v>37016</v>
      </c>
      <c r="L236" s="2">
        <v>572929423597</v>
      </c>
      <c r="M236" s="2">
        <v>32655</v>
      </c>
      <c r="N236" s="2">
        <v>0</v>
      </c>
      <c r="O236" s="2">
        <v>2.6000000000000001E-6</v>
      </c>
      <c r="P236" s="2">
        <v>65842347</v>
      </c>
      <c r="Q236" s="2">
        <v>139</v>
      </c>
    </row>
    <row r="237" spans="1:17" x14ac:dyDescent="0.25">
      <c r="A237" s="1">
        <v>43373</v>
      </c>
      <c r="B237" s="2">
        <v>95651808.292600006</v>
      </c>
      <c r="C237" s="2">
        <v>74164086.413000003</v>
      </c>
      <c r="D237" s="2">
        <v>14609</v>
      </c>
      <c r="E237" s="2">
        <v>9324172790.7199993</v>
      </c>
      <c r="F237" s="2">
        <v>536.55999999999995</v>
      </c>
      <c r="G237" s="2">
        <v>477471000</v>
      </c>
      <c r="H237" s="2">
        <v>10182239634.299999</v>
      </c>
      <c r="I237" s="2">
        <v>1762.5</v>
      </c>
      <c r="J237" s="2">
        <v>0.61339657999999997</v>
      </c>
      <c r="K237" s="2">
        <v>34485</v>
      </c>
      <c r="L237" s="2">
        <v>564937862939</v>
      </c>
      <c r="M237" s="2">
        <v>23626</v>
      </c>
      <c r="N237" s="2">
        <v>28.594752574400001</v>
      </c>
      <c r="O237" s="2">
        <v>4.5199999999999999E-6</v>
      </c>
      <c r="P237" s="2">
        <v>7036321</v>
      </c>
      <c r="Q237" s="2">
        <v>141</v>
      </c>
    </row>
    <row r="238" spans="1:17" x14ac:dyDescent="0.25">
      <c r="A238" s="1">
        <v>43372</v>
      </c>
      <c r="B238" s="2">
        <v>133522775.47400001</v>
      </c>
      <c r="C238" s="2">
        <v>85645151.114500001</v>
      </c>
      <c r="D238" s="2">
        <v>105008</v>
      </c>
      <c r="E238" s="2">
        <v>9365403853.6299992</v>
      </c>
      <c r="F238" s="2">
        <v>538.99</v>
      </c>
      <c r="G238" s="2">
        <v>581112000</v>
      </c>
      <c r="H238" s="2">
        <v>10183505988.799999</v>
      </c>
      <c r="I238" s="2">
        <v>1862.5</v>
      </c>
      <c r="J238" s="2">
        <v>0.89350121999999998</v>
      </c>
      <c r="K238" s="2">
        <v>34231</v>
      </c>
      <c r="L238" s="2">
        <v>563153379815</v>
      </c>
      <c r="M238" s="2">
        <v>23970</v>
      </c>
      <c r="N238" s="2">
        <v>0</v>
      </c>
      <c r="O238" s="2">
        <v>2.6000000000000001E-6</v>
      </c>
      <c r="P238" s="2">
        <v>27557921</v>
      </c>
      <c r="Q238" s="2">
        <v>149</v>
      </c>
    </row>
    <row r="239" spans="1:17" x14ac:dyDescent="0.25">
      <c r="A239" s="1">
        <v>43371</v>
      </c>
      <c r="B239" s="2">
        <v>171522191.419</v>
      </c>
      <c r="C239" s="2">
        <v>127100497.608</v>
      </c>
      <c r="D239" s="2">
        <v>20373</v>
      </c>
      <c r="E239" s="2">
        <v>9875915067.5799999</v>
      </c>
      <c r="F239" s="2">
        <v>568.42999999999995</v>
      </c>
      <c r="G239" s="2">
        <v>673844000</v>
      </c>
      <c r="H239" s="2">
        <v>10186362222.6</v>
      </c>
      <c r="I239" s="2">
        <v>1762.5</v>
      </c>
      <c r="J239" s="2">
        <v>0.66518266999999998</v>
      </c>
      <c r="K239" s="2">
        <v>38311</v>
      </c>
      <c r="L239" s="2">
        <v>574462265909</v>
      </c>
      <c r="M239" s="2">
        <v>22908</v>
      </c>
      <c r="N239" s="2">
        <v>12.908675820499999</v>
      </c>
      <c r="O239" s="2">
        <v>2.6000000000000001E-6</v>
      </c>
      <c r="P239" s="2">
        <v>9027260</v>
      </c>
      <c r="Q239" s="2">
        <v>141</v>
      </c>
    </row>
    <row r="240" spans="1:17" x14ac:dyDescent="0.25">
      <c r="A240" s="1">
        <v>43370</v>
      </c>
      <c r="B240" s="2">
        <v>293344593.67900002</v>
      </c>
      <c r="C240" s="2">
        <v>220887549.30399999</v>
      </c>
      <c r="D240" s="2">
        <v>23359</v>
      </c>
      <c r="E240" s="2">
        <v>8942668090.4699993</v>
      </c>
      <c r="F240" s="2">
        <v>514.77</v>
      </c>
      <c r="G240" s="2">
        <v>1083230000</v>
      </c>
      <c r="H240" s="2">
        <v>10187096554.700001</v>
      </c>
      <c r="I240" s="2">
        <v>1837.5</v>
      </c>
      <c r="J240" s="2">
        <v>1.18824744</v>
      </c>
      <c r="K240" s="2">
        <v>45721</v>
      </c>
      <c r="L240" s="2">
        <v>578776373652</v>
      </c>
      <c r="M240" s="2">
        <v>26742</v>
      </c>
      <c r="N240" s="2">
        <v>32.458745134499999</v>
      </c>
      <c r="O240" s="2">
        <v>2.61E-6</v>
      </c>
      <c r="P240" s="2">
        <v>10607085</v>
      </c>
      <c r="Q240" s="2">
        <v>147</v>
      </c>
    </row>
    <row r="241" spans="1:17" x14ac:dyDescent="0.25">
      <c r="A241" s="1">
        <v>43369</v>
      </c>
      <c r="B241" s="2">
        <v>229394687.99399999</v>
      </c>
      <c r="C241" s="2">
        <v>116062415.948</v>
      </c>
      <c r="D241" s="2">
        <v>27608</v>
      </c>
      <c r="E241" s="2">
        <v>7726380462.4700003</v>
      </c>
      <c r="F241" s="2">
        <v>444.8</v>
      </c>
      <c r="G241" s="2">
        <v>856458000</v>
      </c>
      <c r="H241" s="2">
        <v>10169770717.1</v>
      </c>
      <c r="I241" s="2">
        <v>1962.5</v>
      </c>
      <c r="J241" s="2">
        <v>0.81376850999999994</v>
      </c>
      <c r="K241" s="2">
        <v>45066</v>
      </c>
      <c r="L241" s="2">
        <v>502290306113</v>
      </c>
      <c r="M241" s="2">
        <v>25506</v>
      </c>
      <c r="N241" s="2">
        <v>3.5618205120000002</v>
      </c>
      <c r="O241" s="2">
        <v>2.6000000000000001E-6</v>
      </c>
      <c r="P241" s="2">
        <v>11539200</v>
      </c>
      <c r="Q241" s="2">
        <v>157</v>
      </c>
    </row>
    <row r="242" spans="1:17" x14ac:dyDescent="0.25">
      <c r="A242" s="1">
        <v>43368</v>
      </c>
      <c r="B242" s="2">
        <v>186132964.616</v>
      </c>
      <c r="C242" s="2">
        <v>134731936.92399999</v>
      </c>
      <c r="D242" s="2">
        <v>19024</v>
      </c>
      <c r="E242" s="2">
        <v>8026021887.04</v>
      </c>
      <c r="F242" s="2">
        <v>462.11</v>
      </c>
      <c r="G242" s="2">
        <v>414548000</v>
      </c>
      <c r="H242" s="2">
        <v>10157454928.9</v>
      </c>
      <c r="I242" s="2">
        <v>1687.5</v>
      </c>
      <c r="J242" s="2">
        <v>0.77843560000000001</v>
      </c>
      <c r="K242" s="2">
        <v>37137</v>
      </c>
      <c r="L242" s="2">
        <v>496533882807</v>
      </c>
      <c r="M242" s="2">
        <v>21538</v>
      </c>
      <c r="N242" s="2">
        <v>6.4144241403000004</v>
      </c>
      <c r="O242" s="2">
        <v>2.6000000000000001E-6</v>
      </c>
      <c r="P242" s="2">
        <v>8459009</v>
      </c>
      <c r="Q242" s="2">
        <v>135</v>
      </c>
    </row>
    <row r="243" spans="1:17" x14ac:dyDescent="0.25">
      <c r="A243" s="1">
        <v>43367</v>
      </c>
      <c r="B243" s="2">
        <v>144447754.18399999</v>
      </c>
      <c r="C243" s="2">
        <v>105725876.149</v>
      </c>
      <c r="D243" s="2">
        <v>20099</v>
      </c>
      <c r="E243" s="2">
        <v>8473541966.8699999</v>
      </c>
      <c r="F243" s="2">
        <v>487.92</v>
      </c>
      <c r="G243" s="2">
        <v>385322000</v>
      </c>
      <c r="H243" s="2">
        <v>10188044071.9</v>
      </c>
      <c r="I243" s="2">
        <v>1737.5</v>
      </c>
      <c r="J243" s="2">
        <v>0.88899406999999997</v>
      </c>
      <c r="K243" s="2">
        <v>33312</v>
      </c>
      <c r="L243" s="2">
        <v>505139844375</v>
      </c>
      <c r="M243" s="2">
        <v>20096</v>
      </c>
      <c r="N243" s="2">
        <v>2.6503228896</v>
      </c>
      <c r="O243" s="2">
        <v>2.6400000000000001E-6</v>
      </c>
      <c r="P243" s="2">
        <v>8195751</v>
      </c>
      <c r="Q243" s="2">
        <v>139</v>
      </c>
    </row>
    <row r="244" spans="1:17" x14ac:dyDescent="0.25">
      <c r="A244" s="1">
        <v>43366</v>
      </c>
      <c r="B244" s="2">
        <v>62650949.013700001</v>
      </c>
      <c r="C244" s="2">
        <v>43936759.592100002</v>
      </c>
      <c r="D244" s="2">
        <v>16739</v>
      </c>
      <c r="E244" s="2">
        <v>8469001673.96</v>
      </c>
      <c r="F244" s="2">
        <v>487.71</v>
      </c>
      <c r="G244" s="2">
        <v>384226000</v>
      </c>
      <c r="H244" s="2">
        <v>10203809766.6</v>
      </c>
      <c r="I244" s="2">
        <v>1850</v>
      </c>
      <c r="J244" s="2">
        <v>0.80272876999999998</v>
      </c>
      <c r="K244" s="2">
        <v>29450</v>
      </c>
      <c r="L244" s="2">
        <v>520273160558</v>
      </c>
      <c r="M244" s="2">
        <v>17088</v>
      </c>
      <c r="N244" s="2">
        <v>6.6760329663000002</v>
      </c>
      <c r="O244" s="2">
        <v>2.6000000000000001E-6</v>
      </c>
      <c r="P244" s="2">
        <v>6473678</v>
      </c>
      <c r="Q244" s="2">
        <v>148</v>
      </c>
    </row>
    <row r="245" spans="1:17" x14ac:dyDescent="0.25">
      <c r="A245" s="1">
        <v>43365</v>
      </c>
      <c r="B245" s="2">
        <v>127646984.942</v>
      </c>
      <c r="C245" s="2">
        <v>102589398.97499999</v>
      </c>
      <c r="D245" s="2">
        <v>24974</v>
      </c>
      <c r="E245" s="2">
        <v>8687620830.5</v>
      </c>
      <c r="F245" s="2">
        <v>500.35</v>
      </c>
      <c r="G245" s="2">
        <v>412279000</v>
      </c>
      <c r="H245" s="2">
        <v>10203928453.700001</v>
      </c>
      <c r="I245" s="2">
        <v>1800</v>
      </c>
      <c r="J245" s="2">
        <v>0.69492374999999995</v>
      </c>
      <c r="K245" s="2">
        <v>33164</v>
      </c>
      <c r="L245" s="2">
        <v>507623652743</v>
      </c>
      <c r="M245" s="2">
        <v>18672</v>
      </c>
      <c r="N245" s="2">
        <v>0</v>
      </c>
      <c r="O245" s="2">
        <v>2.6000000000000001E-6</v>
      </c>
      <c r="P245" s="2">
        <v>9261702</v>
      </c>
      <c r="Q245" s="2">
        <v>144</v>
      </c>
    </row>
    <row r="246" spans="1:17" x14ac:dyDescent="0.25">
      <c r="A246" s="1">
        <v>43364</v>
      </c>
      <c r="B246" s="2">
        <v>221854323.528</v>
      </c>
      <c r="C246" s="2">
        <v>185479923.21000001</v>
      </c>
      <c r="D246" s="2">
        <v>22381</v>
      </c>
      <c r="E246" s="2">
        <v>7943120340.4300003</v>
      </c>
      <c r="F246" s="2">
        <v>457.52</v>
      </c>
      <c r="G246" s="2">
        <v>597228000</v>
      </c>
      <c r="H246" s="2">
        <v>10225143233.799999</v>
      </c>
      <c r="I246" s="2">
        <v>1837.5</v>
      </c>
      <c r="J246" s="2">
        <v>0.7663257</v>
      </c>
      <c r="K246" s="2">
        <v>43868</v>
      </c>
      <c r="L246" s="2">
        <v>511309665580</v>
      </c>
      <c r="M246" s="2">
        <v>26333</v>
      </c>
      <c r="N246" s="2">
        <v>9.8773992800000006</v>
      </c>
      <c r="O246" s="2">
        <v>2.6000000000000001E-6</v>
      </c>
      <c r="P246" s="2">
        <v>9915608</v>
      </c>
      <c r="Q246" s="2">
        <v>147</v>
      </c>
    </row>
    <row r="247" spans="1:17" x14ac:dyDescent="0.25">
      <c r="A247" s="1">
        <v>43363</v>
      </c>
      <c r="B247" s="2">
        <v>185151495.09400001</v>
      </c>
      <c r="C247" s="2">
        <v>145282373.389</v>
      </c>
      <c r="D247" s="2">
        <v>43898</v>
      </c>
      <c r="E247" s="2">
        <v>7461314319.4499998</v>
      </c>
      <c r="F247" s="2">
        <v>429.81</v>
      </c>
      <c r="G247" s="2">
        <v>369099000</v>
      </c>
      <c r="H247" s="2">
        <v>10218685205.4</v>
      </c>
      <c r="I247" s="2">
        <v>1825</v>
      </c>
      <c r="J247" s="2">
        <v>0.83826012000000005</v>
      </c>
      <c r="K247" s="2">
        <v>34204</v>
      </c>
      <c r="L247" s="2">
        <v>504153654348</v>
      </c>
      <c r="M247" s="2">
        <v>21856</v>
      </c>
      <c r="N247" s="2">
        <v>0</v>
      </c>
      <c r="O247" s="2">
        <v>2.6000000000000001E-6</v>
      </c>
      <c r="P247" s="2">
        <v>13759379</v>
      </c>
      <c r="Q247" s="2">
        <v>146</v>
      </c>
    </row>
    <row r="248" spans="1:17" x14ac:dyDescent="0.25">
      <c r="A248" s="1">
        <v>43362</v>
      </c>
      <c r="B248" s="2">
        <v>245782502.16600001</v>
      </c>
      <c r="C248" s="2">
        <v>184705888.48300001</v>
      </c>
      <c r="D248" s="2">
        <v>25602</v>
      </c>
      <c r="E248" s="2">
        <v>7519091606.0900002</v>
      </c>
      <c r="F248" s="2">
        <v>433.19</v>
      </c>
      <c r="G248" s="2">
        <v>337321000</v>
      </c>
      <c r="H248" s="2">
        <v>10222249350.299999</v>
      </c>
      <c r="I248" s="2">
        <v>1825</v>
      </c>
      <c r="J248" s="2">
        <v>0.75810663</v>
      </c>
      <c r="K248" s="2">
        <v>41014</v>
      </c>
      <c r="L248" s="2">
        <v>483524425786</v>
      </c>
      <c r="M248" s="2">
        <v>22542</v>
      </c>
      <c r="N248" s="2">
        <v>0.22742475000000001</v>
      </c>
      <c r="O248" s="2">
        <v>2.6000000000000001E-6</v>
      </c>
      <c r="P248" s="2">
        <v>10572672</v>
      </c>
      <c r="Q248" s="2">
        <v>146</v>
      </c>
    </row>
    <row r="249" spans="1:17" x14ac:dyDescent="0.25">
      <c r="A249" s="1">
        <v>43361</v>
      </c>
      <c r="B249" s="2">
        <v>139751614.15700001</v>
      </c>
      <c r="C249" s="2">
        <v>98467498.707800001</v>
      </c>
      <c r="D249" s="2">
        <v>21791</v>
      </c>
      <c r="E249" s="2">
        <v>7264426974</v>
      </c>
      <c r="F249" s="2">
        <v>418.56</v>
      </c>
      <c r="G249" s="2">
        <v>332161000</v>
      </c>
      <c r="H249" s="2">
        <v>10235094661.5</v>
      </c>
      <c r="I249" s="2">
        <v>1800</v>
      </c>
      <c r="J249" s="2">
        <v>0.59454952000000005</v>
      </c>
      <c r="K249" s="2">
        <v>36132</v>
      </c>
      <c r="L249" s="2">
        <v>486249654615</v>
      </c>
      <c r="M249" s="2">
        <v>24471</v>
      </c>
      <c r="N249" s="2">
        <v>1.8328072704</v>
      </c>
      <c r="O249" s="2">
        <v>2.6000000000000001E-6</v>
      </c>
      <c r="P249" s="2">
        <v>8685514</v>
      </c>
      <c r="Q249" s="2">
        <v>144</v>
      </c>
    </row>
    <row r="250" spans="1:17" x14ac:dyDescent="0.25">
      <c r="A250" s="1">
        <v>43360</v>
      </c>
      <c r="B250" s="2">
        <v>196217555.38999999</v>
      </c>
      <c r="C250" s="2">
        <v>142804116.111</v>
      </c>
      <c r="D250" s="2">
        <v>14430</v>
      </c>
      <c r="E250" s="2">
        <v>7815926068.5600004</v>
      </c>
      <c r="F250" s="2">
        <v>450.38</v>
      </c>
      <c r="G250" s="2">
        <v>365115000</v>
      </c>
      <c r="H250" s="2">
        <v>10282109332.700001</v>
      </c>
      <c r="I250" s="2">
        <v>1650</v>
      </c>
      <c r="J250" s="2">
        <v>0.55781393999999995</v>
      </c>
      <c r="K250" s="2">
        <v>35865</v>
      </c>
      <c r="L250" s="2">
        <v>486232305785</v>
      </c>
      <c r="M250" s="2">
        <v>20675</v>
      </c>
      <c r="N250" s="2">
        <v>47.628883010800003</v>
      </c>
      <c r="O250" s="2">
        <v>3.8199999999999998E-6</v>
      </c>
      <c r="P250" s="2">
        <v>6594159</v>
      </c>
      <c r="Q250" s="2">
        <v>132</v>
      </c>
    </row>
    <row r="251" spans="1:17" x14ac:dyDescent="0.25">
      <c r="A251" s="1">
        <v>43359</v>
      </c>
      <c r="B251" s="2">
        <v>117464644.752</v>
      </c>
      <c r="C251" s="2">
        <v>70026737.069000006</v>
      </c>
      <c r="D251" s="2">
        <v>19656</v>
      </c>
      <c r="E251" s="2">
        <v>7782702498.5</v>
      </c>
      <c r="F251" s="2">
        <v>448.51</v>
      </c>
      <c r="G251" s="2">
        <v>277244000</v>
      </c>
      <c r="H251" s="2">
        <v>10306455193.6</v>
      </c>
      <c r="I251" s="2">
        <v>1912.5</v>
      </c>
      <c r="J251" s="2">
        <v>0.59752395000000003</v>
      </c>
      <c r="K251" s="2">
        <v>35220</v>
      </c>
      <c r="L251" s="2">
        <v>484507247048</v>
      </c>
      <c r="M251" s="2">
        <v>21058</v>
      </c>
      <c r="N251" s="2">
        <v>6.1315039633000001</v>
      </c>
      <c r="O251" s="2">
        <v>2.6000000000000001E-6</v>
      </c>
      <c r="P251" s="2">
        <v>7827060</v>
      </c>
      <c r="Q251" s="2">
        <v>153</v>
      </c>
    </row>
    <row r="252" spans="1:17" x14ac:dyDescent="0.25">
      <c r="A252" s="1">
        <v>43358</v>
      </c>
      <c r="B252" s="2">
        <v>73456631.165900007</v>
      </c>
      <c r="C252" s="2">
        <v>41813100.113600001</v>
      </c>
      <c r="D252" s="2">
        <v>26091</v>
      </c>
      <c r="E252" s="2">
        <v>7765777740.3699999</v>
      </c>
      <c r="F252" s="2">
        <v>447.58</v>
      </c>
      <c r="G252" s="2">
        <v>276833000</v>
      </c>
      <c r="H252" s="2">
        <v>10335467379.799999</v>
      </c>
      <c r="I252" s="2">
        <v>1825</v>
      </c>
      <c r="J252" s="2">
        <v>0.57663790000000004</v>
      </c>
      <c r="K252" s="2">
        <v>44199</v>
      </c>
      <c r="L252" s="2">
        <v>484358520036</v>
      </c>
      <c r="M252" s="2">
        <v>30600</v>
      </c>
      <c r="N252" s="2">
        <v>4.4757999999999999E-2</v>
      </c>
      <c r="O252" s="2">
        <v>5.2000000000000002E-6</v>
      </c>
      <c r="P252" s="2">
        <v>9961095</v>
      </c>
      <c r="Q252" s="2">
        <v>146</v>
      </c>
    </row>
    <row r="253" spans="1:17" x14ac:dyDescent="0.25">
      <c r="A253" s="1">
        <v>43357</v>
      </c>
      <c r="B253" s="2">
        <v>199335846.19400001</v>
      </c>
      <c r="C253" s="2">
        <v>158348713.21399999</v>
      </c>
      <c r="D253" s="2">
        <v>18964</v>
      </c>
      <c r="E253" s="2">
        <v>8104111444.6999998</v>
      </c>
      <c r="F253" s="2">
        <v>467.13</v>
      </c>
      <c r="G253" s="2">
        <v>314701000</v>
      </c>
      <c r="H253" s="2">
        <v>10337040711.700001</v>
      </c>
      <c r="I253" s="2">
        <v>1687.5</v>
      </c>
      <c r="J253" s="2">
        <v>0.58975580000000005</v>
      </c>
      <c r="K253" s="2">
        <v>36390</v>
      </c>
      <c r="L253" s="2">
        <v>496835569820</v>
      </c>
      <c r="M253" s="2">
        <v>22357</v>
      </c>
      <c r="N253" s="2">
        <v>9.8746470561000006</v>
      </c>
      <c r="O253" s="2">
        <v>2.6000000000000001E-6</v>
      </c>
      <c r="P253" s="2">
        <v>7893252</v>
      </c>
      <c r="Q253" s="2">
        <v>135</v>
      </c>
    </row>
    <row r="254" spans="1:17" x14ac:dyDescent="0.25">
      <c r="A254" s="1">
        <v>43356</v>
      </c>
      <c r="B254" s="2">
        <v>192623846.56</v>
      </c>
      <c r="C254" s="2">
        <v>154060179.43900001</v>
      </c>
      <c r="D254" s="2">
        <v>14728</v>
      </c>
      <c r="E254" s="2">
        <v>7520537285.8800001</v>
      </c>
      <c r="F254" s="2">
        <v>433.54</v>
      </c>
      <c r="G254" s="2">
        <v>393614000</v>
      </c>
      <c r="H254" s="2">
        <v>10389282358.4</v>
      </c>
      <c r="I254" s="2">
        <v>1800</v>
      </c>
      <c r="J254" s="2">
        <v>0.55583057999999996</v>
      </c>
      <c r="K254" s="2">
        <v>46000</v>
      </c>
      <c r="L254" s="2">
        <v>521099145645</v>
      </c>
      <c r="M254" s="2">
        <v>19968</v>
      </c>
      <c r="N254" s="2">
        <v>56.830985421400001</v>
      </c>
      <c r="O254" s="2">
        <v>3.8199999999999998E-6</v>
      </c>
      <c r="P254" s="2">
        <v>7687855</v>
      </c>
      <c r="Q254" s="2">
        <v>144</v>
      </c>
    </row>
    <row r="255" spans="1:17" x14ac:dyDescent="0.25">
      <c r="A255" s="1">
        <v>43355</v>
      </c>
      <c r="B255" s="2">
        <v>252714178.64199999</v>
      </c>
      <c r="C255" s="2">
        <v>181211222.07600001</v>
      </c>
      <c r="D255" s="2">
        <v>20374</v>
      </c>
      <c r="E255" s="2">
        <v>7640665709.6000004</v>
      </c>
      <c r="F255" s="2">
        <v>440.51</v>
      </c>
      <c r="G255" s="2">
        <v>319094000</v>
      </c>
      <c r="H255" s="2">
        <v>10391794307.5</v>
      </c>
      <c r="I255" s="2">
        <v>1775</v>
      </c>
      <c r="J255" s="2">
        <v>0.65120601</v>
      </c>
      <c r="K255" s="2">
        <v>38289</v>
      </c>
      <c r="L255" s="2">
        <v>560582312958</v>
      </c>
      <c r="M255" s="2">
        <v>23966</v>
      </c>
      <c r="N255" s="2">
        <v>5.2861200000000004</v>
      </c>
      <c r="O255" s="2">
        <v>3.4999999999999999E-6</v>
      </c>
      <c r="P255" s="2">
        <v>8276854</v>
      </c>
      <c r="Q255" s="2">
        <v>142</v>
      </c>
    </row>
    <row r="256" spans="1:17" x14ac:dyDescent="0.25">
      <c r="A256" s="1">
        <v>43354</v>
      </c>
      <c r="B256" s="2">
        <v>155295658.44299999</v>
      </c>
      <c r="C256" s="2">
        <v>108062966.858</v>
      </c>
      <c r="D256" s="2">
        <v>114119</v>
      </c>
      <c r="E256" s="2">
        <v>8122850102.5100002</v>
      </c>
      <c r="F256" s="2">
        <v>468.35</v>
      </c>
      <c r="G256" s="2">
        <v>355090000</v>
      </c>
      <c r="H256" s="2">
        <v>10421595807.299999</v>
      </c>
      <c r="I256" s="2">
        <v>1749.99999</v>
      </c>
      <c r="J256" s="2">
        <v>1.6237408</v>
      </c>
      <c r="K256" s="2">
        <v>53797</v>
      </c>
      <c r="L256" s="2">
        <v>524322180167</v>
      </c>
      <c r="M256" s="2">
        <v>36418</v>
      </c>
      <c r="N256" s="2">
        <v>0</v>
      </c>
      <c r="O256" s="2">
        <v>2.6000000000000001E-6</v>
      </c>
      <c r="P256" s="2">
        <v>33003183</v>
      </c>
      <c r="Q256" s="2">
        <v>140</v>
      </c>
    </row>
    <row r="257" spans="1:17" x14ac:dyDescent="0.25">
      <c r="A257" s="1">
        <v>43353</v>
      </c>
      <c r="B257" s="2">
        <v>122307939.68700001</v>
      </c>
      <c r="C257" s="2">
        <v>75815482.279599994</v>
      </c>
      <c r="D257" s="2">
        <v>57771</v>
      </c>
      <c r="E257" s="2">
        <v>8397089392.3999996</v>
      </c>
      <c r="F257" s="2">
        <v>484.22</v>
      </c>
      <c r="G257" s="2">
        <v>300172000</v>
      </c>
      <c r="H257" s="2">
        <v>10437834916.4</v>
      </c>
      <c r="I257" s="2">
        <v>1862.5</v>
      </c>
      <c r="J257" s="2">
        <v>0.79080181999999999</v>
      </c>
      <c r="K257" s="2">
        <v>38602</v>
      </c>
      <c r="L257" s="2">
        <v>521213963840</v>
      </c>
      <c r="M257" s="2">
        <v>24327</v>
      </c>
      <c r="N257" s="2">
        <v>0</v>
      </c>
      <c r="O257" s="2">
        <v>2.6000000000000001E-6</v>
      </c>
      <c r="P257" s="2">
        <v>17313130</v>
      </c>
      <c r="Q257" s="2">
        <v>149</v>
      </c>
    </row>
    <row r="258" spans="1:17" x14ac:dyDescent="0.25">
      <c r="A258" s="1">
        <v>43352</v>
      </c>
      <c r="B258" s="2">
        <v>58781180.436800003</v>
      </c>
      <c r="C258" s="2">
        <v>44244779.808799997</v>
      </c>
      <c r="D258" s="2">
        <v>51924</v>
      </c>
      <c r="E258" s="2">
        <v>8229874092.9499998</v>
      </c>
      <c r="F258" s="2">
        <v>474.63</v>
      </c>
      <c r="G258" s="2">
        <v>286768000</v>
      </c>
      <c r="H258" s="2">
        <v>10450722952.299999</v>
      </c>
      <c r="I258" s="2">
        <v>1825</v>
      </c>
      <c r="J258" s="2">
        <v>0.59321288000000005</v>
      </c>
      <c r="K258" s="2">
        <v>31155</v>
      </c>
      <c r="L258" s="2">
        <v>540602647523</v>
      </c>
      <c r="M258" s="2">
        <v>19322</v>
      </c>
      <c r="N258" s="2">
        <v>0</v>
      </c>
      <c r="O258" s="2">
        <v>2.6000000000000001E-6</v>
      </c>
      <c r="P258" s="2">
        <v>14351381</v>
      </c>
      <c r="Q258" s="2">
        <v>146</v>
      </c>
    </row>
    <row r="259" spans="1:17" x14ac:dyDescent="0.25">
      <c r="A259" s="1">
        <v>43351</v>
      </c>
      <c r="B259" s="2">
        <v>103266835.79099999</v>
      </c>
      <c r="C259" s="2">
        <v>74360276.643299997</v>
      </c>
      <c r="D259" s="2">
        <v>21803</v>
      </c>
      <c r="E259" s="2">
        <v>8700419722.7600002</v>
      </c>
      <c r="F259" s="2">
        <v>501.82</v>
      </c>
      <c r="G259" s="2">
        <v>311599000</v>
      </c>
      <c r="H259" s="2">
        <v>10452552434.799999</v>
      </c>
      <c r="I259" s="2">
        <v>1712.5</v>
      </c>
      <c r="J259" s="2">
        <v>0.62169118000000001</v>
      </c>
      <c r="K259" s="2">
        <v>30756</v>
      </c>
      <c r="L259" s="2">
        <v>555691086625</v>
      </c>
      <c r="M259" s="2">
        <v>18916</v>
      </c>
      <c r="N259" s="2">
        <v>29.9009447</v>
      </c>
      <c r="O259" s="2">
        <v>2.6000000000000001E-6</v>
      </c>
      <c r="P259" s="2">
        <v>7460510</v>
      </c>
      <c r="Q259" s="2">
        <v>137</v>
      </c>
    </row>
    <row r="260" spans="1:17" x14ac:dyDescent="0.25">
      <c r="A260" s="1">
        <v>43350</v>
      </c>
      <c r="B260" s="2">
        <v>210656556.29300001</v>
      </c>
      <c r="C260" s="2">
        <v>164224129.183</v>
      </c>
      <c r="D260" s="2">
        <v>40446</v>
      </c>
      <c r="E260" s="2">
        <v>8993482543.5100002</v>
      </c>
      <c r="F260" s="2">
        <v>518.77</v>
      </c>
      <c r="G260" s="2">
        <v>368854000</v>
      </c>
      <c r="H260" s="2">
        <v>10456054554.799999</v>
      </c>
      <c r="I260" s="2">
        <v>2000</v>
      </c>
      <c r="J260" s="2">
        <v>0.78081924999999996</v>
      </c>
      <c r="K260" s="2">
        <v>32817</v>
      </c>
      <c r="L260" s="2">
        <v>564713030420</v>
      </c>
      <c r="M260" s="2">
        <v>22260</v>
      </c>
      <c r="N260" s="2">
        <v>0</v>
      </c>
      <c r="O260" s="2">
        <v>2.6000000000000001E-6</v>
      </c>
      <c r="P260" s="2">
        <v>25916540</v>
      </c>
      <c r="Q260" s="2">
        <v>160</v>
      </c>
    </row>
    <row r="261" spans="1:17" x14ac:dyDescent="0.25">
      <c r="A261" s="1">
        <v>43349</v>
      </c>
      <c r="B261" s="2">
        <v>148719470.81</v>
      </c>
      <c r="C261" s="2">
        <v>119469806.337</v>
      </c>
      <c r="D261" s="2">
        <v>663949</v>
      </c>
      <c r="E261" s="2">
        <v>9186281429.7700005</v>
      </c>
      <c r="F261" s="2">
        <v>529.95000000000005</v>
      </c>
      <c r="G261" s="2">
        <v>441732000</v>
      </c>
      <c r="H261" s="2">
        <v>10544969273</v>
      </c>
      <c r="I261" s="2">
        <v>1300</v>
      </c>
      <c r="J261" s="2">
        <v>2.32269741</v>
      </c>
      <c r="K261" s="2">
        <v>47021</v>
      </c>
      <c r="L261" s="2">
        <v>634049922465</v>
      </c>
      <c r="M261" s="2">
        <v>167073</v>
      </c>
      <c r="N261" s="2">
        <v>0</v>
      </c>
      <c r="O261" s="2">
        <v>2.0999999999999998E-6</v>
      </c>
      <c r="P261" s="2">
        <v>171858673</v>
      </c>
      <c r="Q261" s="2">
        <v>104</v>
      </c>
    </row>
    <row r="262" spans="1:17" x14ac:dyDescent="0.25">
      <c r="A262" s="1">
        <v>43348</v>
      </c>
      <c r="B262" s="2">
        <v>233678709.92300001</v>
      </c>
      <c r="C262" s="2">
        <v>152210122.366</v>
      </c>
      <c r="D262" s="2">
        <v>1511603</v>
      </c>
      <c r="E262" s="2">
        <v>10853923358.200001</v>
      </c>
      <c r="F262" s="2">
        <v>626.20000000000005</v>
      </c>
      <c r="G262" s="2">
        <v>520184000</v>
      </c>
      <c r="H262" s="2">
        <v>10561874618.9</v>
      </c>
      <c r="I262" s="2">
        <v>2062.5</v>
      </c>
      <c r="J262" s="2">
        <v>4.5184387600000004</v>
      </c>
      <c r="K262" s="2">
        <v>47317</v>
      </c>
      <c r="L262" s="2">
        <v>612552867707</v>
      </c>
      <c r="M262" s="2">
        <v>305780</v>
      </c>
      <c r="N262" s="2">
        <v>0</v>
      </c>
      <c r="O262" s="2">
        <v>2.0999999999999998E-6</v>
      </c>
      <c r="P262" s="2">
        <v>387860667</v>
      </c>
      <c r="Q262" s="2">
        <v>165</v>
      </c>
    </row>
    <row r="263" spans="1:17" x14ac:dyDescent="0.25">
      <c r="A263" s="1">
        <v>43347</v>
      </c>
      <c r="B263" s="2">
        <v>155269583.78099999</v>
      </c>
      <c r="C263" s="2">
        <v>125842728.355</v>
      </c>
      <c r="D263" s="2">
        <v>1526043</v>
      </c>
      <c r="E263" s="2">
        <v>10871920959.1</v>
      </c>
      <c r="F263" s="2">
        <v>627.32000000000005</v>
      </c>
      <c r="G263" s="2">
        <v>386332000</v>
      </c>
      <c r="H263" s="2">
        <v>10587642453.6</v>
      </c>
      <c r="I263" s="2">
        <v>1662.5</v>
      </c>
      <c r="J263" s="2">
        <v>3.9669597300000001</v>
      </c>
      <c r="K263" s="2">
        <v>65402</v>
      </c>
      <c r="L263" s="2">
        <v>576499187043</v>
      </c>
      <c r="M263" s="2">
        <v>250343</v>
      </c>
      <c r="N263" s="2">
        <v>0</v>
      </c>
      <c r="O263" s="2">
        <v>2.0999999999999998E-6</v>
      </c>
      <c r="P263" s="2">
        <v>342992255</v>
      </c>
      <c r="Q263" s="2">
        <v>133</v>
      </c>
    </row>
    <row r="264" spans="1:17" x14ac:dyDescent="0.25">
      <c r="A264" s="1">
        <v>43346</v>
      </c>
      <c r="B264" s="2">
        <v>108923329.93000001</v>
      </c>
      <c r="C264" s="2">
        <v>91617570.055000007</v>
      </c>
      <c r="D264" s="2">
        <v>448407</v>
      </c>
      <c r="E264" s="2">
        <v>11235061631</v>
      </c>
      <c r="F264" s="2">
        <v>648.33000000000004</v>
      </c>
      <c r="G264" s="2">
        <v>397157000</v>
      </c>
      <c r="H264" s="2">
        <v>10589583314.9</v>
      </c>
      <c r="I264" s="2">
        <v>1762.5</v>
      </c>
      <c r="J264" s="2">
        <v>2.1837249999999999</v>
      </c>
      <c r="K264" s="2">
        <v>38312</v>
      </c>
      <c r="L264" s="2">
        <v>586063036390</v>
      </c>
      <c r="M264" s="2">
        <v>180949</v>
      </c>
      <c r="N264" s="2">
        <v>0</v>
      </c>
      <c r="O264" s="2">
        <v>2.0999999999999998E-6</v>
      </c>
      <c r="P264" s="2">
        <v>147580402</v>
      </c>
      <c r="Q264" s="2">
        <v>141</v>
      </c>
    </row>
    <row r="265" spans="1:17" x14ac:dyDescent="0.25">
      <c r="A265" s="1">
        <v>43345</v>
      </c>
      <c r="B265" s="2">
        <v>105067966.17299999</v>
      </c>
      <c r="C265" s="2">
        <v>78918611.308599994</v>
      </c>
      <c r="D265" s="2">
        <v>1370438</v>
      </c>
      <c r="E265" s="2">
        <v>10674205922.9</v>
      </c>
      <c r="F265" s="2">
        <v>616.03</v>
      </c>
      <c r="G265" s="2">
        <v>570200000</v>
      </c>
      <c r="H265" s="2">
        <v>10595213307.700001</v>
      </c>
      <c r="I265" s="2">
        <v>1825</v>
      </c>
      <c r="J265" s="2">
        <v>4.1832920700000003</v>
      </c>
      <c r="K265" s="2">
        <v>72791</v>
      </c>
      <c r="L265" s="2">
        <v>560882358787</v>
      </c>
      <c r="M265" s="2">
        <v>209262</v>
      </c>
      <c r="N265" s="2">
        <v>0</v>
      </c>
      <c r="O265" s="2">
        <v>2.6000000000000001E-6</v>
      </c>
      <c r="P265" s="2">
        <v>313760227</v>
      </c>
      <c r="Q265" s="2">
        <v>146</v>
      </c>
    </row>
    <row r="266" spans="1:17" x14ac:dyDescent="0.25">
      <c r="A266" s="1">
        <v>43344</v>
      </c>
      <c r="B266" s="2">
        <v>121548979.45900001</v>
      </c>
      <c r="C266" s="2">
        <v>92018578.062800005</v>
      </c>
      <c r="D266" s="2">
        <v>2103739</v>
      </c>
      <c r="E266" s="2">
        <v>9424457209.7800007</v>
      </c>
      <c r="F266" s="2">
        <v>543.96</v>
      </c>
      <c r="G266" s="2">
        <v>490619000</v>
      </c>
      <c r="H266" s="2">
        <v>10590573639</v>
      </c>
      <c r="I266" s="2">
        <v>2000</v>
      </c>
      <c r="J266" s="2">
        <v>6.0585345500000001</v>
      </c>
      <c r="K266" s="2">
        <v>57270</v>
      </c>
      <c r="L266" s="2">
        <v>540614379984</v>
      </c>
      <c r="M266" s="2">
        <v>188538</v>
      </c>
      <c r="N266" s="2">
        <v>0</v>
      </c>
      <c r="O266" s="2">
        <v>2.6000000000000001E-6</v>
      </c>
      <c r="P266" s="2">
        <v>484937952</v>
      </c>
      <c r="Q266" s="2">
        <v>160</v>
      </c>
    </row>
    <row r="267" spans="1:17" x14ac:dyDescent="0.25">
      <c r="A267" s="1">
        <v>43343</v>
      </c>
      <c r="B267" s="2">
        <v>134061408.623</v>
      </c>
      <c r="C267" s="2">
        <v>98596385.840000004</v>
      </c>
      <c r="D267" s="2">
        <v>534090</v>
      </c>
      <c r="E267" s="2">
        <v>9330796336.2900009</v>
      </c>
      <c r="F267" s="2">
        <v>538.62</v>
      </c>
      <c r="G267" s="2">
        <v>307222000</v>
      </c>
      <c r="H267" s="2">
        <v>10587717871.5</v>
      </c>
      <c r="I267" s="2">
        <v>1837.5</v>
      </c>
      <c r="J267" s="2">
        <v>1.9514371100000001</v>
      </c>
      <c r="K267" s="2">
        <v>40160</v>
      </c>
      <c r="L267" s="2">
        <v>508569529478</v>
      </c>
      <c r="M267" s="2">
        <v>46562</v>
      </c>
      <c r="N267" s="2">
        <v>0</v>
      </c>
      <c r="O267" s="2">
        <v>2.6000000000000001E-6</v>
      </c>
      <c r="P267" s="2">
        <v>126586116</v>
      </c>
      <c r="Q267" s="2">
        <v>147</v>
      </c>
    </row>
    <row r="268" spans="1:17" x14ac:dyDescent="0.25">
      <c r="A268" s="1">
        <v>43342</v>
      </c>
      <c r="B268" s="2">
        <v>100438805.582</v>
      </c>
      <c r="C268" s="2">
        <v>79637530.859899998</v>
      </c>
      <c r="D268" s="2">
        <v>60724</v>
      </c>
      <c r="E268" s="2">
        <v>9597550884.8500004</v>
      </c>
      <c r="F268" s="2">
        <v>554.07000000000005</v>
      </c>
      <c r="G268" s="2">
        <v>337841000</v>
      </c>
      <c r="H268" s="2">
        <v>10592742067.700001</v>
      </c>
      <c r="I268" s="2">
        <v>1800</v>
      </c>
      <c r="J268" s="2">
        <v>0.71207699999999996</v>
      </c>
      <c r="K268" s="2">
        <v>34432</v>
      </c>
      <c r="L268" s="2">
        <v>516148944309</v>
      </c>
      <c r="M268" s="2">
        <v>24792</v>
      </c>
      <c r="N268" s="2">
        <v>0</v>
      </c>
      <c r="O268" s="2">
        <v>2.6000000000000001E-6</v>
      </c>
      <c r="P268" s="2">
        <v>17300763</v>
      </c>
      <c r="Q268" s="2">
        <v>144</v>
      </c>
    </row>
    <row r="269" spans="1:17" x14ac:dyDescent="0.25">
      <c r="A269" s="1">
        <v>43341</v>
      </c>
      <c r="B269" s="2">
        <v>119599927.61300001</v>
      </c>
      <c r="C269" s="2">
        <v>94311021.194299996</v>
      </c>
      <c r="D269" s="2">
        <v>26021</v>
      </c>
      <c r="E269" s="2">
        <v>9775500078.9799995</v>
      </c>
      <c r="F269" s="2">
        <v>564.41</v>
      </c>
      <c r="G269" s="2">
        <v>299414000</v>
      </c>
      <c r="H269" s="2">
        <v>10599218195.4</v>
      </c>
      <c r="I269" s="2">
        <v>1737.5</v>
      </c>
      <c r="J269" s="2">
        <v>0.73123437000000002</v>
      </c>
      <c r="K269" s="2">
        <v>54535</v>
      </c>
      <c r="L269" s="2">
        <v>536226200149</v>
      </c>
      <c r="M269" s="2">
        <v>27097</v>
      </c>
      <c r="N269" s="2">
        <v>3.2281599273000001</v>
      </c>
      <c r="O269" s="2">
        <v>2.6000000000000001E-6</v>
      </c>
      <c r="P269" s="2">
        <v>12713669</v>
      </c>
      <c r="Q269" s="2">
        <v>139</v>
      </c>
    </row>
    <row r="270" spans="1:17" x14ac:dyDescent="0.25">
      <c r="A270" s="1">
        <v>43340</v>
      </c>
      <c r="B270" s="2">
        <v>107648198.308</v>
      </c>
      <c r="C270" s="2">
        <v>79226111.357800007</v>
      </c>
      <c r="D270" s="2">
        <v>22908</v>
      </c>
      <c r="E270" s="2">
        <v>9439744476.0799999</v>
      </c>
      <c r="F270" s="2">
        <v>545.08000000000004</v>
      </c>
      <c r="G270" s="2">
        <v>429636000</v>
      </c>
      <c r="H270" s="2">
        <v>10574726969.700001</v>
      </c>
      <c r="I270" s="2">
        <v>1787.5</v>
      </c>
      <c r="J270" s="2">
        <v>0.73721241999999998</v>
      </c>
      <c r="K270" s="2">
        <v>44070</v>
      </c>
      <c r="L270" s="2">
        <v>536428738461</v>
      </c>
      <c r="M270" s="2">
        <v>29246</v>
      </c>
      <c r="N270" s="2">
        <v>11.928094656000001</v>
      </c>
      <c r="O270" s="2">
        <v>2.6000000000000001E-6</v>
      </c>
      <c r="P270" s="2">
        <v>12244359</v>
      </c>
      <c r="Q270" s="2">
        <v>143</v>
      </c>
    </row>
    <row r="271" spans="1:17" x14ac:dyDescent="0.25">
      <c r="A271" s="1">
        <v>43339</v>
      </c>
      <c r="B271" s="2">
        <v>92561656.669200003</v>
      </c>
      <c r="C271" s="2">
        <v>71670704.9428</v>
      </c>
      <c r="D271" s="2">
        <v>22443</v>
      </c>
      <c r="E271" s="2">
        <v>9056780335.4899998</v>
      </c>
      <c r="F271" s="2">
        <v>523.02</v>
      </c>
      <c r="G271" s="2">
        <v>305426000</v>
      </c>
      <c r="H271" s="2">
        <v>10574827639.6</v>
      </c>
      <c r="I271" s="2">
        <v>1900</v>
      </c>
      <c r="J271" s="2">
        <v>1.0161655199999999</v>
      </c>
      <c r="K271" s="2">
        <v>55036</v>
      </c>
      <c r="L271" s="2">
        <v>524346936006</v>
      </c>
      <c r="M271" s="2">
        <v>21293</v>
      </c>
      <c r="N271" s="2">
        <v>8.7846439200000001E-2</v>
      </c>
      <c r="O271" s="2">
        <v>2.6000000000000001E-6</v>
      </c>
      <c r="P271" s="2">
        <v>13758951</v>
      </c>
      <c r="Q271" s="2">
        <v>152</v>
      </c>
    </row>
    <row r="272" spans="1:17" x14ac:dyDescent="0.25">
      <c r="A272" s="1">
        <v>43338</v>
      </c>
      <c r="B272" s="2">
        <v>105716720.999</v>
      </c>
      <c r="C272" s="2">
        <v>87819493.935100004</v>
      </c>
      <c r="D272" s="2">
        <v>20265</v>
      </c>
      <c r="E272" s="2">
        <v>9289140577.9599991</v>
      </c>
      <c r="F272" s="2">
        <v>536.49</v>
      </c>
      <c r="G272" s="2">
        <v>257257000</v>
      </c>
      <c r="H272" s="2">
        <v>10572719544.1</v>
      </c>
      <c r="I272" s="2">
        <v>1675</v>
      </c>
      <c r="J272" s="2">
        <v>0.48589642</v>
      </c>
      <c r="K272" s="2">
        <v>28890</v>
      </c>
      <c r="L272" s="2">
        <v>535282679191</v>
      </c>
      <c r="M272" s="2">
        <v>19831</v>
      </c>
      <c r="N272" s="2">
        <v>5.2329234600000003E-2</v>
      </c>
      <c r="O272" s="2">
        <v>2.6000000000000001E-6</v>
      </c>
      <c r="P272" s="2">
        <v>7501928</v>
      </c>
      <c r="Q272" s="2">
        <v>134</v>
      </c>
    </row>
    <row r="273" spans="1:17" x14ac:dyDescent="0.25">
      <c r="A273" s="1">
        <v>43337</v>
      </c>
      <c r="B273" s="2">
        <v>63158700.385300003</v>
      </c>
      <c r="C273" s="2">
        <v>51011306.313000001</v>
      </c>
      <c r="D273" s="2">
        <v>28156</v>
      </c>
      <c r="E273" s="2">
        <v>9262177694.1299992</v>
      </c>
      <c r="F273" s="2">
        <v>534.99</v>
      </c>
      <c r="G273" s="2">
        <v>272027000</v>
      </c>
      <c r="H273" s="2">
        <v>10578677041.299999</v>
      </c>
      <c r="I273" s="2">
        <v>1725</v>
      </c>
      <c r="J273" s="2">
        <v>0.54423204999999997</v>
      </c>
      <c r="K273" s="2">
        <v>27978</v>
      </c>
      <c r="L273" s="2">
        <v>548572513940</v>
      </c>
      <c r="M273" s="2">
        <v>17519</v>
      </c>
      <c r="N273" s="2">
        <v>0</v>
      </c>
      <c r="O273" s="2">
        <v>2.6000000000000001E-6</v>
      </c>
      <c r="P273" s="2">
        <v>9488565</v>
      </c>
      <c r="Q273" s="2">
        <v>138</v>
      </c>
    </row>
    <row r="274" spans="1:17" x14ac:dyDescent="0.25">
      <c r="A274" s="1">
        <v>43336</v>
      </c>
      <c r="B274" s="2">
        <v>109286189.412</v>
      </c>
      <c r="C274" s="2">
        <v>90512363.526299998</v>
      </c>
      <c r="D274" s="2">
        <v>19820</v>
      </c>
      <c r="E274" s="2">
        <v>9201807782.4599991</v>
      </c>
      <c r="F274" s="2">
        <v>531.54999999999995</v>
      </c>
      <c r="G274" s="2">
        <v>304350000</v>
      </c>
      <c r="H274" s="2">
        <v>10577119674.4</v>
      </c>
      <c r="I274" s="2">
        <v>1850</v>
      </c>
      <c r="J274" s="2">
        <v>0.54556678000000003</v>
      </c>
      <c r="K274" s="2">
        <v>35303</v>
      </c>
      <c r="L274" s="2">
        <v>520720225111</v>
      </c>
      <c r="M274" s="2">
        <v>19014</v>
      </c>
      <c r="N274" s="2">
        <v>0.20019236100000001</v>
      </c>
      <c r="O274" s="2">
        <v>2.6000000000000001E-6</v>
      </c>
      <c r="P274" s="2">
        <v>7925191</v>
      </c>
      <c r="Q274" s="2">
        <v>148</v>
      </c>
    </row>
    <row r="275" spans="1:17" x14ac:dyDescent="0.25">
      <c r="A275" s="1">
        <v>43335</v>
      </c>
      <c r="B275" s="2">
        <v>72169548.910999998</v>
      </c>
      <c r="C275" s="2">
        <v>57887279.876100004</v>
      </c>
      <c r="D275" s="2">
        <v>33625</v>
      </c>
      <c r="E275" s="2">
        <v>8985560930.4300003</v>
      </c>
      <c r="F275" s="2">
        <v>519.12</v>
      </c>
      <c r="G275" s="2">
        <v>282362000</v>
      </c>
      <c r="H275" s="2">
        <v>10604381193.299999</v>
      </c>
      <c r="I275" s="2">
        <v>1762.5</v>
      </c>
      <c r="J275" s="2">
        <v>0.51652253999999997</v>
      </c>
      <c r="K275" s="2">
        <v>32833</v>
      </c>
      <c r="L275" s="2">
        <v>540837073255</v>
      </c>
      <c r="M275" s="2">
        <v>21729</v>
      </c>
      <c r="N275" s="2">
        <v>0</v>
      </c>
      <c r="O275" s="2">
        <v>2.6000000000000001E-6</v>
      </c>
      <c r="P275" s="2">
        <v>11074513</v>
      </c>
      <c r="Q275" s="2">
        <v>141</v>
      </c>
    </row>
    <row r="276" spans="1:17" x14ac:dyDescent="0.25">
      <c r="A276" s="1">
        <v>43334</v>
      </c>
      <c r="B276" s="2">
        <v>110452493.41</v>
      </c>
      <c r="C276" s="2">
        <v>79876144.426100001</v>
      </c>
      <c r="D276" s="2">
        <v>21346</v>
      </c>
      <c r="E276" s="2">
        <v>9262150940.9099998</v>
      </c>
      <c r="F276" s="2">
        <v>535.15</v>
      </c>
      <c r="G276" s="2">
        <v>319315000</v>
      </c>
      <c r="H276" s="2">
        <v>10607211827.6</v>
      </c>
      <c r="I276" s="2">
        <v>1762.5</v>
      </c>
      <c r="J276" s="2">
        <v>0.5521317</v>
      </c>
      <c r="K276" s="2">
        <v>32574</v>
      </c>
      <c r="L276" s="2">
        <v>578628223829</v>
      </c>
      <c r="M276" s="2">
        <v>20077</v>
      </c>
      <c r="N276" s="2">
        <v>0.954054717</v>
      </c>
      <c r="O276" s="2">
        <v>2.6000000000000001E-6</v>
      </c>
      <c r="P276" s="2">
        <v>7894428</v>
      </c>
      <c r="Q276" s="2">
        <v>141</v>
      </c>
    </row>
    <row r="277" spans="1:17" x14ac:dyDescent="0.25">
      <c r="A277" s="1">
        <v>43333</v>
      </c>
      <c r="B277" s="2">
        <v>161573460.91299999</v>
      </c>
      <c r="C277" s="2">
        <v>143461624.31099999</v>
      </c>
      <c r="D277" s="2">
        <v>27521</v>
      </c>
      <c r="E277" s="2">
        <v>8896144105.5300007</v>
      </c>
      <c r="F277" s="2">
        <v>514.05999999999995</v>
      </c>
      <c r="G277" s="2">
        <v>304026000</v>
      </c>
      <c r="H277" s="2">
        <v>10617513818.6</v>
      </c>
      <c r="I277" s="2">
        <v>1950</v>
      </c>
      <c r="J277" s="2">
        <v>0.55523663999999995</v>
      </c>
      <c r="K277" s="2">
        <v>29768</v>
      </c>
      <c r="L277" s="2">
        <v>526094439572</v>
      </c>
      <c r="M277" s="2">
        <v>18556</v>
      </c>
      <c r="N277" s="2">
        <v>0</v>
      </c>
      <c r="O277" s="2">
        <v>2.6000000000000001E-6</v>
      </c>
      <c r="P277" s="2">
        <v>8911141</v>
      </c>
      <c r="Q277" s="2">
        <v>156</v>
      </c>
    </row>
    <row r="278" spans="1:17" x14ac:dyDescent="0.25">
      <c r="A278" s="1">
        <v>43332</v>
      </c>
      <c r="B278" s="2">
        <v>160723935.463</v>
      </c>
      <c r="C278" s="2">
        <v>140890740.15900001</v>
      </c>
      <c r="D278" s="2">
        <v>43166</v>
      </c>
      <c r="E278" s="2">
        <v>9865069418</v>
      </c>
      <c r="F278" s="2">
        <v>570.11</v>
      </c>
      <c r="G278" s="2">
        <v>374592000</v>
      </c>
      <c r="H278" s="2">
        <v>10631223091.299999</v>
      </c>
      <c r="I278" s="2">
        <v>1712.5</v>
      </c>
      <c r="J278" s="2">
        <v>0.91144711</v>
      </c>
      <c r="K278" s="2">
        <v>32836</v>
      </c>
      <c r="L278" s="2">
        <v>548618595474</v>
      </c>
      <c r="M278" s="2">
        <v>19389</v>
      </c>
      <c r="N278" s="2">
        <v>0</v>
      </c>
      <c r="O278" s="2">
        <v>2.6000000000000001E-6</v>
      </c>
      <c r="P278" s="2">
        <v>13018370</v>
      </c>
      <c r="Q278" s="2">
        <v>137</v>
      </c>
    </row>
    <row r="279" spans="1:17" x14ac:dyDescent="0.25">
      <c r="A279" s="1">
        <v>43331</v>
      </c>
      <c r="B279" s="2">
        <v>56308737.541900001</v>
      </c>
      <c r="C279" s="2">
        <v>43503278.850500003</v>
      </c>
      <c r="D279" s="2">
        <v>128532</v>
      </c>
      <c r="E279" s="2">
        <v>9601373092.5100002</v>
      </c>
      <c r="F279" s="2">
        <v>554.92999999999995</v>
      </c>
      <c r="G279" s="2">
        <v>383846000</v>
      </c>
      <c r="H279" s="2">
        <v>10639673954.700001</v>
      </c>
      <c r="I279" s="2">
        <v>1687.5</v>
      </c>
      <c r="J279" s="2">
        <v>0.74798268000000001</v>
      </c>
      <c r="K279" s="2">
        <v>32508</v>
      </c>
      <c r="L279" s="2">
        <v>604365330907</v>
      </c>
      <c r="M279" s="2">
        <v>22877</v>
      </c>
      <c r="N279" s="2">
        <v>0</v>
      </c>
      <c r="O279" s="2">
        <v>2.0999999999999998E-6</v>
      </c>
      <c r="P279" s="2">
        <v>30842136</v>
      </c>
      <c r="Q279" s="2">
        <v>135</v>
      </c>
    </row>
    <row r="280" spans="1:17" x14ac:dyDescent="0.25">
      <c r="A280" s="1">
        <v>43330</v>
      </c>
      <c r="B280" s="2">
        <v>83350570.116799995</v>
      </c>
      <c r="C280" s="2">
        <v>68117692.102899998</v>
      </c>
      <c r="D280" s="2">
        <v>66701</v>
      </c>
      <c r="E280" s="2">
        <v>10339941230.4</v>
      </c>
      <c r="F280" s="2">
        <v>597.66999999999996</v>
      </c>
      <c r="G280" s="2">
        <v>413731000</v>
      </c>
      <c r="H280" s="2">
        <v>10636100030.700001</v>
      </c>
      <c r="I280" s="2">
        <v>1800</v>
      </c>
      <c r="J280" s="2">
        <v>0.58599016000000004</v>
      </c>
      <c r="K280" s="2">
        <v>29171</v>
      </c>
      <c r="L280" s="2">
        <v>594365542406</v>
      </c>
      <c r="M280" s="2">
        <v>21230</v>
      </c>
      <c r="N280" s="2">
        <v>0</v>
      </c>
      <c r="O280" s="2">
        <v>2.6000000000000001E-6</v>
      </c>
      <c r="P280" s="2">
        <v>17767930</v>
      </c>
      <c r="Q280" s="2">
        <v>144</v>
      </c>
    </row>
    <row r="281" spans="1:17" x14ac:dyDescent="0.25">
      <c r="A281" s="1">
        <v>43329</v>
      </c>
      <c r="B281" s="2">
        <v>117517311.48899999</v>
      </c>
      <c r="C281" s="2">
        <v>86580200.7579</v>
      </c>
      <c r="D281" s="2">
        <v>20550</v>
      </c>
      <c r="E281" s="2">
        <v>8935794750.8899994</v>
      </c>
      <c r="F281" s="2">
        <v>516.55999999999995</v>
      </c>
      <c r="G281" s="2">
        <v>463256000</v>
      </c>
      <c r="H281" s="2">
        <v>10639289980.5</v>
      </c>
      <c r="I281" s="2">
        <v>1862.5</v>
      </c>
      <c r="J281" s="2">
        <v>0.74482959999999998</v>
      </c>
      <c r="K281" s="2">
        <v>43842</v>
      </c>
      <c r="L281" s="2">
        <v>541802428948</v>
      </c>
      <c r="M281" s="2">
        <v>18694</v>
      </c>
      <c r="N281" s="2">
        <v>5.2479706575999998</v>
      </c>
      <c r="O281" s="2">
        <v>2.26E-6</v>
      </c>
      <c r="P281" s="2">
        <v>9148075</v>
      </c>
      <c r="Q281" s="2">
        <v>149</v>
      </c>
    </row>
    <row r="282" spans="1:17" x14ac:dyDescent="0.25">
      <c r="A282" s="1">
        <v>43328</v>
      </c>
      <c r="B282" s="2">
        <v>91130628.395300001</v>
      </c>
      <c r="C282" s="2">
        <v>65979294.321400002</v>
      </c>
      <c r="D282" s="2">
        <v>19736</v>
      </c>
      <c r="E282" s="2">
        <v>8870885615.9099998</v>
      </c>
      <c r="F282" s="2">
        <v>512.87</v>
      </c>
      <c r="G282" s="2">
        <v>402136000</v>
      </c>
      <c r="H282" s="2">
        <v>10642584017</v>
      </c>
      <c r="I282" s="2">
        <v>1887.5</v>
      </c>
      <c r="J282" s="2">
        <v>0.58477082000000002</v>
      </c>
      <c r="K282" s="2">
        <v>31778</v>
      </c>
      <c r="L282" s="2">
        <v>520647675515</v>
      </c>
      <c r="M282" s="2">
        <v>20570</v>
      </c>
      <c r="N282" s="2">
        <v>1.0357460937</v>
      </c>
      <c r="O282" s="2">
        <v>2.6000000000000001E-6</v>
      </c>
      <c r="P282" s="2">
        <v>7297502</v>
      </c>
      <c r="Q282" s="2">
        <v>151</v>
      </c>
    </row>
    <row r="283" spans="1:17" x14ac:dyDescent="0.25">
      <c r="A283" s="1">
        <v>43327</v>
      </c>
      <c r="B283" s="2">
        <v>167852795.15099999</v>
      </c>
      <c r="C283" s="2">
        <v>145385073.27599999</v>
      </c>
      <c r="D283" s="2">
        <v>20366</v>
      </c>
      <c r="E283" s="2">
        <v>8876633604.5799999</v>
      </c>
      <c r="F283" s="2">
        <v>513.25</v>
      </c>
      <c r="G283" s="2">
        <v>378019000</v>
      </c>
      <c r="H283" s="2">
        <v>10646832762.4</v>
      </c>
      <c r="I283" s="2">
        <v>1725</v>
      </c>
      <c r="J283" s="2">
        <v>0.57297595000000001</v>
      </c>
      <c r="K283" s="2">
        <v>35369</v>
      </c>
      <c r="L283" s="2">
        <v>559252499428</v>
      </c>
      <c r="M283" s="2">
        <v>22282</v>
      </c>
      <c r="N283" s="2">
        <v>1.1496953974999999</v>
      </c>
      <c r="O283" s="2">
        <v>2.4600000000000002E-6</v>
      </c>
      <c r="P283" s="2">
        <v>8204216</v>
      </c>
      <c r="Q283" s="2">
        <v>138</v>
      </c>
    </row>
    <row r="284" spans="1:17" x14ac:dyDescent="0.25">
      <c r="A284" s="1">
        <v>43326</v>
      </c>
      <c r="B284" s="2">
        <v>166746667.278</v>
      </c>
      <c r="C284" s="2">
        <v>121233373.439</v>
      </c>
      <c r="D284" s="2">
        <v>26864</v>
      </c>
      <c r="E284" s="2">
        <v>9251378501.8899994</v>
      </c>
      <c r="F284" s="2">
        <v>534.98</v>
      </c>
      <c r="G284" s="2">
        <v>420396000</v>
      </c>
      <c r="H284" s="2">
        <v>10657586716.200001</v>
      </c>
      <c r="I284" s="2">
        <v>1700</v>
      </c>
      <c r="J284" s="2">
        <v>0.89434433999999996</v>
      </c>
      <c r="K284" s="2">
        <v>92342</v>
      </c>
      <c r="L284" s="2">
        <v>519666376215</v>
      </c>
      <c r="M284" s="2">
        <v>23864</v>
      </c>
      <c r="N284" s="2">
        <v>8.8057707999999995E-3</v>
      </c>
      <c r="O284" s="2">
        <v>2.6000000000000001E-6</v>
      </c>
      <c r="P284" s="2">
        <v>18954357</v>
      </c>
      <c r="Q284" s="2">
        <v>136</v>
      </c>
    </row>
    <row r="285" spans="1:17" x14ac:dyDescent="0.25">
      <c r="A285" s="1">
        <v>43325</v>
      </c>
      <c r="B285" s="2">
        <v>198392443.16600001</v>
      </c>
      <c r="C285" s="2">
        <v>170936186.16800001</v>
      </c>
      <c r="D285" s="2">
        <v>14280</v>
      </c>
      <c r="E285" s="2">
        <v>9873694237.6700001</v>
      </c>
      <c r="F285" s="2">
        <v>571.02</v>
      </c>
      <c r="G285" s="2">
        <v>379411000</v>
      </c>
      <c r="H285" s="2">
        <v>10687177263.1</v>
      </c>
      <c r="I285" s="2">
        <v>1937.5</v>
      </c>
      <c r="J285" s="2">
        <v>0.62422942000000003</v>
      </c>
      <c r="K285" s="2">
        <v>36882</v>
      </c>
      <c r="L285" s="2">
        <v>572985798624</v>
      </c>
      <c r="M285" s="2">
        <v>19225</v>
      </c>
      <c r="N285" s="2">
        <v>48.630941140799997</v>
      </c>
      <c r="O285" s="2">
        <v>3.2799999999999999E-6</v>
      </c>
      <c r="P285" s="2">
        <v>7154510</v>
      </c>
      <c r="Q285" s="2">
        <v>155</v>
      </c>
    </row>
    <row r="286" spans="1:17" x14ac:dyDescent="0.25">
      <c r="A286" s="1">
        <v>43324</v>
      </c>
      <c r="B286" s="2">
        <v>68788525.351600006</v>
      </c>
      <c r="C286" s="2">
        <v>51959529.465999998</v>
      </c>
      <c r="D286" s="2">
        <v>15331</v>
      </c>
      <c r="E286" s="2">
        <v>9758861232.9300003</v>
      </c>
      <c r="F286" s="2">
        <v>564.44000000000005</v>
      </c>
      <c r="G286" s="2">
        <v>324257000</v>
      </c>
      <c r="H286" s="2">
        <v>10717579529.5</v>
      </c>
      <c r="I286" s="2">
        <v>1725</v>
      </c>
      <c r="J286" s="2">
        <v>0.48027779999999998</v>
      </c>
      <c r="K286" s="2">
        <v>34896</v>
      </c>
      <c r="L286" s="2">
        <v>575942073799</v>
      </c>
      <c r="M286" s="2">
        <v>16547</v>
      </c>
      <c r="N286" s="2">
        <v>1.1610643688</v>
      </c>
      <c r="O286" s="2">
        <v>2.6000000000000001E-6</v>
      </c>
      <c r="P286" s="2">
        <v>7059296</v>
      </c>
      <c r="Q286" s="2">
        <v>138</v>
      </c>
    </row>
    <row r="287" spans="1:17" x14ac:dyDescent="0.25">
      <c r="A287" s="1">
        <v>43323</v>
      </c>
      <c r="B287" s="2">
        <v>94276702.669799998</v>
      </c>
      <c r="C287" s="2">
        <v>68105056.477799997</v>
      </c>
      <c r="D287" s="2">
        <v>18505</v>
      </c>
      <c r="E287" s="2">
        <v>9886750827.5100002</v>
      </c>
      <c r="F287" s="2">
        <v>571.89</v>
      </c>
      <c r="G287" s="2">
        <v>341530000</v>
      </c>
      <c r="H287" s="2">
        <v>10722912879.700001</v>
      </c>
      <c r="I287" s="2">
        <v>1787.5</v>
      </c>
      <c r="J287" s="2">
        <v>0.44233261000000001</v>
      </c>
      <c r="K287" s="2">
        <v>27921</v>
      </c>
      <c r="L287" s="2">
        <v>585918445172</v>
      </c>
      <c r="M287" s="2">
        <v>17674</v>
      </c>
      <c r="N287" s="2">
        <v>0.80454628979999998</v>
      </c>
      <c r="O287" s="2">
        <v>2.2900000000000001E-6</v>
      </c>
      <c r="P287" s="2">
        <v>6906911</v>
      </c>
      <c r="Q287" s="2">
        <v>143</v>
      </c>
    </row>
    <row r="288" spans="1:17" x14ac:dyDescent="0.25">
      <c r="A288" s="1">
        <v>43322</v>
      </c>
      <c r="B288" s="2">
        <v>107054570.344</v>
      </c>
      <c r="C288" s="2">
        <v>81069661.051300004</v>
      </c>
      <c r="D288" s="2">
        <v>15028</v>
      </c>
      <c r="E288" s="2">
        <v>10550457979.700001</v>
      </c>
      <c r="F288" s="2">
        <v>610.35</v>
      </c>
      <c r="G288" s="2">
        <v>345223000</v>
      </c>
      <c r="H288" s="2">
        <v>10731779287.6</v>
      </c>
      <c r="I288" s="2">
        <v>1887.5</v>
      </c>
      <c r="J288" s="2">
        <v>0.61091472000000002</v>
      </c>
      <c r="K288" s="2">
        <v>32878</v>
      </c>
      <c r="L288" s="2">
        <v>542960057525</v>
      </c>
      <c r="M288" s="2">
        <v>19947</v>
      </c>
      <c r="N288" s="2">
        <v>47.307618150000003</v>
      </c>
      <c r="O288" s="2">
        <v>3.2100000000000002E-6</v>
      </c>
      <c r="P288" s="2">
        <v>6397763</v>
      </c>
      <c r="Q288" s="2">
        <v>151</v>
      </c>
    </row>
    <row r="289" spans="1:17" x14ac:dyDescent="0.25">
      <c r="A289" s="1">
        <v>43321</v>
      </c>
      <c r="B289" s="2">
        <v>192822447.961</v>
      </c>
      <c r="C289" s="2">
        <v>164966733.808</v>
      </c>
      <c r="D289" s="2">
        <v>17161</v>
      </c>
      <c r="E289" s="2">
        <v>10206616060.9</v>
      </c>
      <c r="F289" s="2">
        <v>590.52</v>
      </c>
      <c r="G289" s="2">
        <v>355208000</v>
      </c>
      <c r="H289" s="2">
        <v>10739704189.9</v>
      </c>
      <c r="I289" s="2">
        <v>1725</v>
      </c>
      <c r="J289" s="2">
        <v>0.61704123</v>
      </c>
      <c r="K289" s="2">
        <v>35813</v>
      </c>
      <c r="L289" s="2">
        <v>589744960447</v>
      </c>
      <c r="M289" s="2">
        <v>21241</v>
      </c>
      <c r="N289" s="2">
        <v>17.029380328799999</v>
      </c>
      <c r="O289" s="2">
        <v>3.0400000000000001E-6</v>
      </c>
      <c r="P289" s="2">
        <v>7626466</v>
      </c>
      <c r="Q289" s="2">
        <v>138</v>
      </c>
    </row>
    <row r="290" spans="1:17" x14ac:dyDescent="0.25">
      <c r="A290" s="1">
        <v>43320</v>
      </c>
      <c r="B290" s="2">
        <v>264006737.68200001</v>
      </c>
      <c r="C290" s="2">
        <v>220666987.78099999</v>
      </c>
      <c r="D290" s="2">
        <v>16542</v>
      </c>
      <c r="E290" s="2">
        <v>11407145429.799999</v>
      </c>
      <c r="F290" s="2">
        <v>660.05</v>
      </c>
      <c r="G290" s="2">
        <v>450595000</v>
      </c>
      <c r="H290" s="2">
        <v>10742385262.5</v>
      </c>
      <c r="I290" s="2">
        <v>1762.5</v>
      </c>
      <c r="J290" s="2">
        <v>0.87108830000000004</v>
      </c>
      <c r="K290" s="2">
        <v>48236</v>
      </c>
      <c r="L290" s="2">
        <v>562251721606</v>
      </c>
      <c r="M290" s="2">
        <v>24754</v>
      </c>
      <c r="N290" s="2">
        <v>51.567594339999999</v>
      </c>
      <c r="O290" s="2">
        <v>3.27E-6</v>
      </c>
      <c r="P290" s="2">
        <v>10028040</v>
      </c>
      <c r="Q290" s="2">
        <v>141</v>
      </c>
    </row>
    <row r="291" spans="1:17" x14ac:dyDescent="0.25">
      <c r="A291" s="1">
        <v>43319</v>
      </c>
      <c r="B291" s="2">
        <v>151673194.95100001</v>
      </c>
      <c r="C291" s="2">
        <v>110529150.13</v>
      </c>
      <c r="D291" s="2">
        <v>18475</v>
      </c>
      <c r="E291" s="2">
        <v>11969134585.6</v>
      </c>
      <c r="F291" s="2">
        <v>692.63</v>
      </c>
      <c r="G291" s="2">
        <v>378007000</v>
      </c>
      <c r="H291" s="2">
        <v>10796774490.200001</v>
      </c>
      <c r="I291" s="2">
        <v>1637.5</v>
      </c>
      <c r="J291" s="2">
        <v>0.58141883999999999</v>
      </c>
      <c r="K291" s="2">
        <v>45856</v>
      </c>
      <c r="L291" s="2">
        <v>596144208745</v>
      </c>
      <c r="M291" s="2">
        <v>21348</v>
      </c>
      <c r="N291" s="2">
        <v>13.844925659599999</v>
      </c>
      <c r="O291" s="2">
        <v>2.8399999999999999E-6</v>
      </c>
      <c r="P291" s="2">
        <v>9630741</v>
      </c>
      <c r="Q291" s="2">
        <v>131</v>
      </c>
    </row>
    <row r="292" spans="1:17" x14ac:dyDescent="0.25">
      <c r="A292" s="1">
        <v>43318</v>
      </c>
      <c r="B292" s="2">
        <v>141354431.36199999</v>
      </c>
      <c r="C292" s="2">
        <v>126430361.745</v>
      </c>
      <c r="D292" s="2">
        <v>17215</v>
      </c>
      <c r="E292" s="2">
        <v>12285515126.700001</v>
      </c>
      <c r="F292" s="2">
        <v>711.01</v>
      </c>
      <c r="G292" s="2">
        <v>316406000</v>
      </c>
      <c r="H292" s="2">
        <v>10826109828.5</v>
      </c>
      <c r="I292" s="2">
        <v>1937.5</v>
      </c>
      <c r="J292" s="2">
        <v>0.96817882</v>
      </c>
      <c r="K292" s="2">
        <v>34444</v>
      </c>
      <c r="L292" s="2">
        <v>587617726579</v>
      </c>
      <c r="M292" s="2">
        <v>21136</v>
      </c>
      <c r="N292" s="2">
        <v>18.6133317072</v>
      </c>
      <c r="O292" s="2">
        <v>3.7400000000000002E-6</v>
      </c>
      <c r="P292" s="2">
        <v>7388266</v>
      </c>
      <c r="Q292" s="2">
        <v>155</v>
      </c>
    </row>
    <row r="293" spans="1:17" x14ac:dyDescent="0.25">
      <c r="A293" s="1">
        <v>43317</v>
      </c>
      <c r="B293" s="2">
        <v>80396591.996900007</v>
      </c>
      <c r="C293" s="2">
        <v>60430239.720700003</v>
      </c>
      <c r="D293" s="2">
        <v>12927</v>
      </c>
      <c r="E293" s="2">
        <v>12026001835.6</v>
      </c>
      <c r="F293" s="2">
        <v>696.07</v>
      </c>
      <c r="G293" s="2">
        <v>313362000</v>
      </c>
      <c r="H293" s="2">
        <v>10832010399.4</v>
      </c>
      <c r="I293" s="2">
        <v>1787.5</v>
      </c>
      <c r="J293" s="2">
        <v>0.85662402000000004</v>
      </c>
      <c r="K293" s="2">
        <v>28960</v>
      </c>
      <c r="L293" s="2">
        <v>596881879683</v>
      </c>
      <c r="M293" s="2">
        <v>21152</v>
      </c>
      <c r="N293" s="2">
        <v>13.1881389799</v>
      </c>
      <c r="O293" s="2">
        <v>3.7400000000000002E-6</v>
      </c>
      <c r="P293" s="2">
        <v>5632486</v>
      </c>
      <c r="Q293" s="2">
        <v>143</v>
      </c>
    </row>
    <row r="294" spans="1:17" x14ac:dyDescent="0.25">
      <c r="A294" s="1">
        <v>43316</v>
      </c>
      <c r="B294" s="2">
        <v>162450183.30399999</v>
      </c>
      <c r="C294" s="2">
        <v>98001244.163699999</v>
      </c>
      <c r="D294" s="2">
        <v>14284</v>
      </c>
      <c r="E294" s="2">
        <v>12494571232.5</v>
      </c>
      <c r="F294" s="2">
        <v>723.27</v>
      </c>
      <c r="G294" s="2">
        <v>327670000</v>
      </c>
      <c r="H294" s="2">
        <v>10831721579.6</v>
      </c>
      <c r="I294" s="2">
        <v>1937.5</v>
      </c>
      <c r="J294" s="2">
        <v>0.83236863000000005</v>
      </c>
      <c r="K294" s="2">
        <v>29073</v>
      </c>
      <c r="L294" s="2">
        <v>590824207752</v>
      </c>
      <c r="M294" s="2">
        <v>19129</v>
      </c>
      <c r="N294" s="2">
        <v>40.317919483799997</v>
      </c>
      <c r="O294" s="2">
        <v>4.4800000000000003E-6</v>
      </c>
      <c r="P294" s="2">
        <v>6201710</v>
      </c>
      <c r="Q294" s="2">
        <v>155</v>
      </c>
    </row>
    <row r="295" spans="1:17" x14ac:dyDescent="0.25">
      <c r="A295" s="1">
        <v>43315</v>
      </c>
      <c r="B295" s="2">
        <v>142736197.963</v>
      </c>
      <c r="C295" s="2">
        <v>100393918.25</v>
      </c>
      <c r="D295" s="2">
        <v>19013</v>
      </c>
      <c r="E295" s="2">
        <v>12657839307.299999</v>
      </c>
      <c r="F295" s="2">
        <v>732.8</v>
      </c>
      <c r="G295" s="2">
        <v>361851000</v>
      </c>
      <c r="H295" s="2">
        <v>10844144276.799999</v>
      </c>
      <c r="I295" s="2">
        <v>1812.5</v>
      </c>
      <c r="J295" s="2">
        <v>1.15558903</v>
      </c>
      <c r="K295" s="2">
        <v>34768</v>
      </c>
      <c r="L295" s="2">
        <v>568176490357</v>
      </c>
      <c r="M295" s="2">
        <v>20331</v>
      </c>
      <c r="N295" s="2">
        <v>12.27396032</v>
      </c>
      <c r="O295" s="2">
        <v>2.8399999999999999E-6</v>
      </c>
      <c r="P295" s="2">
        <v>7821142</v>
      </c>
      <c r="Q295" s="2">
        <v>145</v>
      </c>
    </row>
    <row r="296" spans="1:17" x14ac:dyDescent="0.25">
      <c r="A296" s="1">
        <v>43314</v>
      </c>
      <c r="B296" s="2">
        <v>199515986.90700001</v>
      </c>
      <c r="C296" s="2">
        <v>171348203.602</v>
      </c>
      <c r="D296" s="2">
        <v>58780</v>
      </c>
      <c r="E296" s="2">
        <v>13258784764</v>
      </c>
      <c r="F296" s="2">
        <v>767.67</v>
      </c>
      <c r="G296" s="2">
        <v>387197000</v>
      </c>
      <c r="H296" s="2">
        <v>10848166664.700001</v>
      </c>
      <c r="I296" s="2">
        <v>1662.5</v>
      </c>
      <c r="J296" s="2">
        <v>1.17875025</v>
      </c>
      <c r="K296" s="2">
        <v>36990</v>
      </c>
      <c r="L296" s="2">
        <v>583755431075</v>
      </c>
      <c r="M296" s="2">
        <v>24515</v>
      </c>
      <c r="N296" s="2">
        <v>0</v>
      </c>
      <c r="O296" s="2">
        <v>2.6000000000000001E-6</v>
      </c>
      <c r="P296" s="2">
        <v>17799104</v>
      </c>
      <c r="Q296" s="2">
        <v>133</v>
      </c>
    </row>
    <row r="297" spans="1:17" x14ac:dyDescent="0.25">
      <c r="A297" s="1">
        <v>43313</v>
      </c>
      <c r="B297" s="2">
        <v>176377125.389</v>
      </c>
      <c r="C297" s="2">
        <v>121774517.317</v>
      </c>
      <c r="D297" s="2">
        <v>687613</v>
      </c>
      <c r="E297" s="2">
        <v>13469582501.1</v>
      </c>
      <c r="F297" s="2">
        <v>779.95</v>
      </c>
      <c r="G297" s="2">
        <v>499193000</v>
      </c>
      <c r="H297" s="2">
        <v>10882943178.1</v>
      </c>
      <c r="I297" s="2">
        <v>1737.5</v>
      </c>
      <c r="J297" s="2">
        <v>3.27871062</v>
      </c>
      <c r="K297" s="2">
        <v>47198</v>
      </c>
      <c r="L297" s="2">
        <v>593303104544</v>
      </c>
      <c r="M297" s="2">
        <v>61078</v>
      </c>
      <c r="N297" s="2">
        <v>0</v>
      </c>
      <c r="O297" s="2">
        <v>2.8899999999999999E-6</v>
      </c>
      <c r="P297" s="2">
        <v>166075410</v>
      </c>
      <c r="Q297" s="2">
        <v>139</v>
      </c>
    </row>
    <row r="298" spans="1:17" x14ac:dyDescent="0.25">
      <c r="A298" s="1">
        <v>43312</v>
      </c>
      <c r="B298" s="2">
        <v>165602053.56099999</v>
      </c>
      <c r="C298" s="2">
        <v>108054864.301</v>
      </c>
      <c r="D298" s="2">
        <v>19074</v>
      </c>
      <c r="E298" s="2">
        <v>14103282304.700001</v>
      </c>
      <c r="F298" s="2">
        <v>816.73</v>
      </c>
      <c r="G298" s="2">
        <v>420759000</v>
      </c>
      <c r="H298" s="2">
        <v>10889056109.4</v>
      </c>
      <c r="I298" s="2">
        <v>1725</v>
      </c>
      <c r="J298" s="2">
        <v>1.45631204</v>
      </c>
      <c r="K298" s="2">
        <v>41072</v>
      </c>
      <c r="L298" s="2">
        <v>592898056350</v>
      </c>
      <c r="M298" s="2">
        <v>24297</v>
      </c>
      <c r="N298" s="2">
        <v>33.932738481100003</v>
      </c>
      <c r="O298" s="2">
        <v>3.0699999999999998E-6</v>
      </c>
      <c r="P298" s="2">
        <v>8409709</v>
      </c>
      <c r="Q298" s="2">
        <v>138</v>
      </c>
    </row>
    <row r="299" spans="1:17" x14ac:dyDescent="0.25">
      <c r="A299" s="1">
        <v>43311</v>
      </c>
      <c r="B299" s="2">
        <v>171515145.33700001</v>
      </c>
      <c r="C299" s="2">
        <v>128604356.323</v>
      </c>
      <c r="D299" s="2">
        <v>16210</v>
      </c>
      <c r="E299" s="2">
        <v>14306009588.700001</v>
      </c>
      <c r="F299" s="2">
        <v>828.55</v>
      </c>
      <c r="G299" s="2">
        <v>568282000</v>
      </c>
      <c r="H299" s="2">
        <v>10896660519</v>
      </c>
      <c r="I299" s="2">
        <v>1912.5</v>
      </c>
      <c r="J299" s="2">
        <v>1.1480058200000001</v>
      </c>
      <c r="K299" s="2">
        <v>37977</v>
      </c>
      <c r="L299" s="2">
        <v>601519158431</v>
      </c>
      <c r="M299" s="2">
        <v>25150</v>
      </c>
      <c r="N299" s="2">
        <v>49.798978633499999</v>
      </c>
      <c r="O299" s="2">
        <v>4.3800000000000004E-6</v>
      </c>
      <c r="P299" s="2">
        <v>7745321</v>
      </c>
      <c r="Q299" s="2">
        <v>153</v>
      </c>
    </row>
    <row r="300" spans="1:17" x14ac:dyDescent="0.25">
      <c r="A300" s="1">
        <v>43310</v>
      </c>
      <c r="B300" s="2">
        <v>166948494.40000001</v>
      </c>
      <c r="C300" s="2">
        <v>124059412.147</v>
      </c>
      <c r="D300" s="2">
        <v>37976</v>
      </c>
      <c r="E300" s="2">
        <v>14174268996.5</v>
      </c>
      <c r="F300" s="2">
        <v>821.01</v>
      </c>
      <c r="G300" s="2">
        <v>565436032</v>
      </c>
      <c r="H300" s="2">
        <v>10897782976.6</v>
      </c>
      <c r="I300" s="2">
        <v>1850</v>
      </c>
      <c r="J300" s="2">
        <v>0.92250016000000001</v>
      </c>
      <c r="K300" s="2">
        <v>34285</v>
      </c>
      <c r="L300" s="2">
        <v>565725713609</v>
      </c>
      <c r="M300" s="2">
        <v>22467</v>
      </c>
      <c r="N300" s="2">
        <v>0</v>
      </c>
      <c r="O300" s="2">
        <v>2.6000000000000001E-6</v>
      </c>
      <c r="P300" s="2">
        <v>11847040</v>
      </c>
      <c r="Q300" s="2">
        <v>148</v>
      </c>
    </row>
    <row r="301" spans="1:17" x14ac:dyDescent="0.25">
      <c r="A301" s="1">
        <v>43309</v>
      </c>
      <c r="B301" s="2">
        <v>183627606.91600001</v>
      </c>
      <c r="C301" s="2">
        <v>149996083.41499999</v>
      </c>
      <c r="D301" s="2">
        <v>14207</v>
      </c>
      <c r="E301" s="2">
        <v>14181053274</v>
      </c>
      <c r="F301" s="2">
        <v>821.49</v>
      </c>
      <c r="G301" s="2">
        <v>525351008</v>
      </c>
      <c r="H301" s="2">
        <v>10896380882.700001</v>
      </c>
      <c r="I301" s="2">
        <v>1900</v>
      </c>
      <c r="J301" s="2">
        <v>0.83027812000000001</v>
      </c>
      <c r="K301" s="2">
        <v>39267</v>
      </c>
      <c r="L301" s="2">
        <v>520414091963</v>
      </c>
      <c r="M301" s="2">
        <v>22050</v>
      </c>
      <c r="N301" s="2">
        <v>9.0787706691000007</v>
      </c>
      <c r="O301" s="2">
        <v>2.6000000000000001E-6</v>
      </c>
      <c r="P301" s="2">
        <v>7239752</v>
      </c>
      <c r="Q301" s="2">
        <v>152</v>
      </c>
    </row>
    <row r="302" spans="1:17" x14ac:dyDescent="0.25">
      <c r="A302" s="1">
        <v>43308</v>
      </c>
      <c r="B302" s="2">
        <v>188234028.99700001</v>
      </c>
      <c r="C302" s="2">
        <v>147266979.88600001</v>
      </c>
      <c r="D302" s="2">
        <v>16400</v>
      </c>
      <c r="E302" s="2">
        <v>13883583159.5</v>
      </c>
      <c r="F302" s="2">
        <v>804.35</v>
      </c>
      <c r="G302" s="2">
        <v>589747968</v>
      </c>
      <c r="H302" s="2">
        <v>10903343555.700001</v>
      </c>
      <c r="I302" s="2">
        <v>1662.5</v>
      </c>
      <c r="J302" s="2">
        <v>1.1652887300000001</v>
      </c>
      <c r="K302" s="2">
        <v>36913</v>
      </c>
      <c r="L302" s="2">
        <v>524037715419</v>
      </c>
      <c r="M302" s="2">
        <v>26671</v>
      </c>
      <c r="N302" s="2">
        <v>8.9897856009999995</v>
      </c>
      <c r="O302" s="2">
        <v>3.7500000000000001E-6</v>
      </c>
      <c r="P302" s="2">
        <v>7416602</v>
      </c>
      <c r="Q302" s="2">
        <v>133</v>
      </c>
    </row>
    <row r="303" spans="1:17" x14ac:dyDescent="0.25">
      <c r="A303" s="1">
        <v>43307</v>
      </c>
      <c r="B303" s="2">
        <v>149337435.72999999</v>
      </c>
      <c r="C303" s="2">
        <v>94636871.363100007</v>
      </c>
      <c r="D303" s="2">
        <v>15800</v>
      </c>
      <c r="E303" s="2">
        <v>14337716474.4</v>
      </c>
      <c r="F303" s="2">
        <v>830.74</v>
      </c>
      <c r="G303" s="2">
        <v>597276992</v>
      </c>
      <c r="H303" s="2">
        <v>10900884998.1</v>
      </c>
      <c r="I303" s="2">
        <v>1825</v>
      </c>
      <c r="J303" s="2">
        <v>1.25777893</v>
      </c>
      <c r="K303" s="2">
        <v>44157</v>
      </c>
      <c r="L303" s="2">
        <v>517525649905</v>
      </c>
      <c r="M303" s="2">
        <v>33947</v>
      </c>
      <c r="N303" s="2">
        <v>36.177065519999999</v>
      </c>
      <c r="O303" s="2">
        <v>3.7400000000000002E-6</v>
      </c>
      <c r="P303" s="2">
        <v>7549026</v>
      </c>
      <c r="Q303" s="2">
        <v>146</v>
      </c>
    </row>
    <row r="304" spans="1:17" x14ac:dyDescent="0.25">
      <c r="A304" s="1">
        <v>43306</v>
      </c>
      <c r="B304" s="2">
        <v>238069890.52000001</v>
      </c>
      <c r="C304" s="2">
        <v>154670797.97099999</v>
      </c>
      <c r="D304" s="2">
        <v>21890</v>
      </c>
      <c r="E304" s="2">
        <v>14896314670.4</v>
      </c>
      <c r="F304" s="2">
        <v>863.2</v>
      </c>
      <c r="G304" s="2">
        <v>692334016</v>
      </c>
      <c r="H304" s="2">
        <v>10899487113.299999</v>
      </c>
      <c r="I304" s="2">
        <v>1812.5</v>
      </c>
      <c r="J304" s="2">
        <v>1.31619178</v>
      </c>
      <c r="K304" s="2">
        <v>39344</v>
      </c>
      <c r="L304" s="2">
        <v>557349563592</v>
      </c>
      <c r="M304" s="2">
        <v>24126</v>
      </c>
      <c r="N304" s="2">
        <v>1.1404943679999999</v>
      </c>
      <c r="O304" s="2">
        <v>2.6000000000000001E-6</v>
      </c>
      <c r="P304" s="2">
        <v>9105671</v>
      </c>
      <c r="Q304" s="2">
        <v>145</v>
      </c>
    </row>
    <row r="305" spans="1:17" x14ac:dyDescent="0.25">
      <c r="A305" s="1">
        <v>43305</v>
      </c>
      <c r="B305" s="2">
        <v>317664768.61699998</v>
      </c>
      <c r="C305" s="2">
        <v>189584306.47299999</v>
      </c>
      <c r="D305" s="2">
        <v>30590</v>
      </c>
      <c r="E305" s="2">
        <v>13555785647.700001</v>
      </c>
      <c r="F305" s="2">
        <v>785.6</v>
      </c>
      <c r="G305" s="2">
        <v>905811968</v>
      </c>
      <c r="H305" s="2">
        <v>10904074425</v>
      </c>
      <c r="I305" s="2">
        <v>1887.5</v>
      </c>
      <c r="J305" s="2">
        <v>1.8380983799999999</v>
      </c>
      <c r="K305" s="2">
        <v>40414</v>
      </c>
      <c r="L305" s="2">
        <v>525644129573</v>
      </c>
      <c r="M305" s="2">
        <v>28717</v>
      </c>
      <c r="N305" s="2">
        <v>7.6627424E-2</v>
      </c>
      <c r="O305" s="2">
        <v>2.6000000000000001E-6</v>
      </c>
      <c r="P305" s="2">
        <v>11490772</v>
      </c>
      <c r="Q305" s="2">
        <v>151</v>
      </c>
    </row>
    <row r="306" spans="1:17" x14ac:dyDescent="0.25">
      <c r="A306" s="1">
        <v>43304</v>
      </c>
      <c r="B306" s="2">
        <v>272276233.69</v>
      </c>
      <c r="C306" s="2">
        <v>208932446.35699999</v>
      </c>
      <c r="D306" s="2">
        <v>21305</v>
      </c>
      <c r="E306" s="2">
        <v>13624846934.700001</v>
      </c>
      <c r="F306" s="2">
        <v>789.69</v>
      </c>
      <c r="G306" s="2">
        <v>608630016</v>
      </c>
      <c r="H306" s="2">
        <v>10893563679.799999</v>
      </c>
      <c r="I306" s="2">
        <v>1700</v>
      </c>
      <c r="J306" s="2">
        <v>1.114371</v>
      </c>
      <c r="K306" s="2">
        <v>36130</v>
      </c>
      <c r="L306" s="2">
        <v>531835701156</v>
      </c>
      <c r="M306" s="2">
        <v>20975</v>
      </c>
      <c r="N306" s="2">
        <v>0.2493525144</v>
      </c>
      <c r="O306" s="2">
        <v>2.6000000000000001E-6</v>
      </c>
      <c r="P306" s="2">
        <v>8845567</v>
      </c>
      <c r="Q306" s="2">
        <v>136</v>
      </c>
    </row>
    <row r="307" spans="1:17" x14ac:dyDescent="0.25">
      <c r="A307" s="1">
        <v>43303</v>
      </c>
      <c r="B307" s="2">
        <v>130035324.73899999</v>
      </c>
      <c r="C307" s="2">
        <v>92724621.818399996</v>
      </c>
      <c r="D307" s="2">
        <v>26923</v>
      </c>
      <c r="E307" s="2">
        <v>13602457756.5</v>
      </c>
      <c r="F307" s="2">
        <v>788.47</v>
      </c>
      <c r="G307" s="2">
        <v>529767008</v>
      </c>
      <c r="H307" s="2">
        <v>10914770309.799999</v>
      </c>
      <c r="I307" s="2">
        <v>1737.5</v>
      </c>
      <c r="J307" s="2">
        <v>0.89420911999999997</v>
      </c>
      <c r="K307" s="2">
        <v>30660</v>
      </c>
      <c r="L307" s="2">
        <v>557655620456</v>
      </c>
      <c r="M307" s="2">
        <v>22439</v>
      </c>
      <c r="N307" s="2">
        <v>0</v>
      </c>
      <c r="O307" s="2">
        <v>2.6000000000000001E-6</v>
      </c>
      <c r="P307" s="2">
        <v>10369733</v>
      </c>
      <c r="Q307" s="2">
        <v>139</v>
      </c>
    </row>
    <row r="308" spans="1:17" x14ac:dyDescent="0.25">
      <c r="A308" s="1">
        <v>43302</v>
      </c>
      <c r="B308" s="2">
        <v>168886512.081</v>
      </c>
      <c r="C308" s="2">
        <v>104631688.249</v>
      </c>
      <c r="D308" s="2">
        <v>94877</v>
      </c>
      <c r="E308" s="2">
        <v>13245910881.1</v>
      </c>
      <c r="F308" s="2">
        <v>767.88</v>
      </c>
      <c r="G308" s="2">
        <v>513512992</v>
      </c>
      <c r="H308" s="2">
        <v>10913604367.700001</v>
      </c>
      <c r="I308" s="2">
        <v>1700</v>
      </c>
      <c r="J308" s="2">
        <v>1.21440981</v>
      </c>
      <c r="K308" s="2">
        <v>33260</v>
      </c>
      <c r="L308" s="2">
        <v>638716260370</v>
      </c>
      <c r="M308" s="2">
        <v>25301</v>
      </c>
      <c r="N308" s="2">
        <v>0</v>
      </c>
      <c r="O308" s="2">
        <v>3.1E-6</v>
      </c>
      <c r="P308" s="2">
        <v>27674290</v>
      </c>
      <c r="Q308" s="2">
        <v>136</v>
      </c>
    </row>
    <row r="309" spans="1:17" x14ac:dyDescent="0.25">
      <c r="A309" s="1">
        <v>43301</v>
      </c>
      <c r="B309" s="2">
        <v>293749002.528</v>
      </c>
      <c r="C309" s="2">
        <v>157429726.50600001</v>
      </c>
      <c r="D309" s="2">
        <v>98845</v>
      </c>
      <c r="E309" s="2">
        <v>14202209178.700001</v>
      </c>
      <c r="F309" s="2">
        <v>823.4</v>
      </c>
      <c r="G309" s="2">
        <v>612099008</v>
      </c>
      <c r="H309" s="2">
        <v>10910081469.700001</v>
      </c>
      <c r="I309" s="2">
        <v>1912.5</v>
      </c>
      <c r="J309" s="2">
        <v>1.4725177199999999</v>
      </c>
      <c r="K309" s="2">
        <v>48885</v>
      </c>
      <c r="L309" s="2">
        <v>623380159587</v>
      </c>
      <c r="M309" s="2">
        <v>28261</v>
      </c>
      <c r="N309" s="2">
        <v>0</v>
      </c>
      <c r="O309" s="2">
        <v>3.14E-6</v>
      </c>
      <c r="P309" s="2">
        <v>33801944</v>
      </c>
      <c r="Q309" s="2">
        <v>153</v>
      </c>
    </row>
    <row r="310" spans="1:17" x14ac:dyDescent="0.25">
      <c r="A310" s="1">
        <v>43300</v>
      </c>
      <c r="B310" s="2">
        <v>192776060.78200001</v>
      </c>
      <c r="C310" s="2">
        <v>148189585.428</v>
      </c>
      <c r="D310" s="2">
        <v>100695</v>
      </c>
      <c r="E310" s="2">
        <v>14287538890.299999</v>
      </c>
      <c r="F310" s="2">
        <v>828.43</v>
      </c>
      <c r="G310" s="2">
        <v>684182976</v>
      </c>
      <c r="H310" s="2">
        <v>10914829604.5</v>
      </c>
      <c r="I310" s="2">
        <v>1712.5</v>
      </c>
      <c r="J310" s="2">
        <v>1.3576021199999999</v>
      </c>
      <c r="K310" s="2">
        <v>46995</v>
      </c>
      <c r="L310" s="2">
        <v>620391455343</v>
      </c>
      <c r="M310" s="2">
        <v>26250</v>
      </c>
      <c r="N310" s="2">
        <v>0</v>
      </c>
      <c r="O310" s="2">
        <v>3.0000000000000001E-6</v>
      </c>
      <c r="P310" s="2">
        <v>34571420</v>
      </c>
      <c r="Q310" s="2">
        <v>137</v>
      </c>
    </row>
    <row r="311" spans="1:17" x14ac:dyDescent="0.25">
      <c r="A311" s="1">
        <v>43299</v>
      </c>
      <c r="B311" s="2">
        <v>437138279.36299998</v>
      </c>
      <c r="C311" s="2">
        <v>364590363.62800002</v>
      </c>
      <c r="D311" s="2">
        <v>33677</v>
      </c>
      <c r="E311" s="2">
        <v>14654018237.4</v>
      </c>
      <c r="F311" s="2">
        <v>849.77</v>
      </c>
      <c r="G311" s="2">
        <v>720550976</v>
      </c>
      <c r="H311" s="2">
        <v>10915354660.4</v>
      </c>
      <c r="I311" s="2">
        <v>1825</v>
      </c>
      <c r="J311" s="2">
        <v>1.27966482</v>
      </c>
      <c r="K311" s="2">
        <v>44754</v>
      </c>
      <c r="L311" s="2">
        <v>620750537234</v>
      </c>
      <c r="M311" s="2">
        <v>30495</v>
      </c>
      <c r="N311" s="2">
        <v>0</v>
      </c>
      <c r="O311" s="2">
        <v>2.6000000000000001E-6</v>
      </c>
      <c r="P311" s="2">
        <v>13771156</v>
      </c>
      <c r="Q311" s="2">
        <v>146</v>
      </c>
    </row>
    <row r="312" spans="1:17" x14ac:dyDescent="0.25">
      <c r="A312" s="1">
        <v>43298</v>
      </c>
      <c r="B312" s="2">
        <v>193229157.02200001</v>
      </c>
      <c r="C312" s="2">
        <v>135692518.185</v>
      </c>
      <c r="D312" s="2">
        <v>51396</v>
      </c>
      <c r="E312" s="2">
        <v>13848111610.200001</v>
      </c>
      <c r="F312" s="2">
        <v>803.12</v>
      </c>
      <c r="G312" s="2">
        <v>752280000</v>
      </c>
      <c r="H312" s="2">
        <v>10884188330.200001</v>
      </c>
      <c r="I312" s="2">
        <v>1637.5</v>
      </c>
      <c r="J312" s="2">
        <v>1.5184469</v>
      </c>
      <c r="K312" s="2">
        <v>41711</v>
      </c>
      <c r="L312" s="2">
        <v>664866424293</v>
      </c>
      <c r="M312" s="2">
        <v>30986</v>
      </c>
      <c r="N312" s="2">
        <v>0</v>
      </c>
      <c r="O312" s="2">
        <v>2.6000000000000001E-6</v>
      </c>
      <c r="P312" s="2">
        <v>17206624</v>
      </c>
      <c r="Q312" s="2">
        <v>131</v>
      </c>
    </row>
    <row r="313" spans="1:17" x14ac:dyDescent="0.25">
      <c r="A313" s="1">
        <v>43297</v>
      </c>
      <c r="B313" s="2">
        <v>184473919.94</v>
      </c>
      <c r="C313" s="2">
        <v>140195291.958</v>
      </c>
      <c r="D313" s="2">
        <v>39399</v>
      </c>
      <c r="E313" s="2">
        <v>12490912401</v>
      </c>
      <c r="F313" s="2">
        <v>724.48</v>
      </c>
      <c r="G313" s="2">
        <v>534068000</v>
      </c>
      <c r="H313" s="2">
        <v>10876894984.4</v>
      </c>
      <c r="I313" s="2">
        <v>1825</v>
      </c>
      <c r="J313" s="2">
        <v>1.15757713</v>
      </c>
      <c r="K313" s="2">
        <v>39350</v>
      </c>
      <c r="L313" s="2">
        <v>729061006530</v>
      </c>
      <c r="M313" s="2">
        <v>25918</v>
      </c>
      <c r="N313" s="2">
        <v>0</v>
      </c>
      <c r="O313" s="2">
        <v>2.6000000000000001E-6</v>
      </c>
      <c r="P313" s="2">
        <v>13324280</v>
      </c>
      <c r="Q313" s="2">
        <v>146</v>
      </c>
    </row>
    <row r="314" spans="1:17" x14ac:dyDescent="0.25">
      <c r="A314" s="1">
        <v>43296</v>
      </c>
      <c r="B314" s="2">
        <v>75432389.261299998</v>
      </c>
      <c r="C314" s="2">
        <v>53027650.0502</v>
      </c>
      <c r="D314" s="2">
        <v>13733</v>
      </c>
      <c r="E314" s="2">
        <v>12119236795.5</v>
      </c>
      <c r="F314" s="2">
        <v>702.99</v>
      </c>
      <c r="G314" s="2">
        <v>322284000</v>
      </c>
      <c r="H314" s="2">
        <v>10871188229.1</v>
      </c>
      <c r="I314" s="2">
        <v>1650</v>
      </c>
      <c r="J314" s="2">
        <v>0.77548486999999999</v>
      </c>
      <c r="K314" s="2">
        <v>28262</v>
      </c>
      <c r="L314" s="2">
        <v>700937072720</v>
      </c>
      <c r="M314" s="2">
        <v>17608</v>
      </c>
      <c r="N314" s="2">
        <v>9.7795610261999997</v>
      </c>
      <c r="O314" s="2">
        <v>2.6000000000000001E-6</v>
      </c>
      <c r="P314" s="2">
        <v>5719966</v>
      </c>
      <c r="Q314" s="2">
        <v>132</v>
      </c>
    </row>
    <row r="315" spans="1:17" x14ac:dyDescent="0.25">
      <c r="A315" s="1">
        <v>43295</v>
      </c>
      <c r="B315" s="2">
        <v>64018864.745300002</v>
      </c>
      <c r="C315" s="2">
        <v>49454791.755800001</v>
      </c>
      <c r="D315" s="2">
        <v>14120</v>
      </c>
      <c r="E315" s="2">
        <v>12004706228.700001</v>
      </c>
      <c r="F315" s="2">
        <v>696.42</v>
      </c>
      <c r="G315" s="2">
        <v>272856000</v>
      </c>
      <c r="H315" s="2">
        <v>10869193183.700001</v>
      </c>
      <c r="I315" s="2">
        <v>1837.5</v>
      </c>
      <c r="J315" s="2">
        <v>0.61323978000000001</v>
      </c>
      <c r="K315" s="2">
        <v>32259</v>
      </c>
      <c r="L315" s="2">
        <v>742007090781</v>
      </c>
      <c r="M315" s="2">
        <v>22294</v>
      </c>
      <c r="N315" s="2">
        <v>5.6903433569999997</v>
      </c>
      <c r="O315" s="2">
        <v>2.6000000000000001E-6</v>
      </c>
      <c r="P315" s="2">
        <v>5896642</v>
      </c>
      <c r="Q315" s="2">
        <v>147</v>
      </c>
    </row>
    <row r="316" spans="1:17" x14ac:dyDescent="0.25">
      <c r="A316" s="1">
        <v>43294</v>
      </c>
      <c r="B316" s="2">
        <v>147023125.11399999</v>
      </c>
      <c r="C316" s="2">
        <v>112308104.973</v>
      </c>
      <c r="D316" s="2">
        <v>15252</v>
      </c>
      <c r="E316" s="2">
        <v>11835031087.9</v>
      </c>
      <c r="F316" s="2">
        <v>686.65</v>
      </c>
      <c r="G316" s="2">
        <v>352371008</v>
      </c>
      <c r="H316" s="2">
        <v>10869158692.299999</v>
      </c>
      <c r="I316" s="2">
        <v>1875</v>
      </c>
      <c r="J316" s="2">
        <v>1.0063628600000001</v>
      </c>
      <c r="K316" s="2">
        <v>35936</v>
      </c>
      <c r="L316" s="2">
        <v>728104052050</v>
      </c>
      <c r="M316" s="2">
        <v>21193</v>
      </c>
      <c r="N316" s="2">
        <v>14.0163323895</v>
      </c>
      <c r="O316" s="2">
        <v>2.6000000000000001E-6</v>
      </c>
      <c r="P316" s="2">
        <v>12572841</v>
      </c>
      <c r="Q316" s="2">
        <v>150</v>
      </c>
    </row>
    <row r="317" spans="1:17" x14ac:dyDescent="0.25">
      <c r="A317" s="1">
        <v>43293</v>
      </c>
      <c r="B317" s="2">
        <v>169147260.618</v>
      </c>
      <c r="C317" s="2">
        <v>118479153.267</v>
      </c>
      <c r="D317" s="2">
        <v>20483</v>
      </c>
      <c r="E317" s="2">
        <v>12184074791.200001</v>
      </c>
      <c r="F317" s="2">
        <v>706.98</v>
      </c>
      <c r="G317" s="2">
        <v>336003008</v>
      </c>
      <c r="H317" s="2">
        <v>10878289033.200001</v>
      </c>
      <c r="I317" s="2">
        <v>1862.5</v>
      </c>
      <c r="J317" s="2">
        <v>0.81679625</v>
      </c>
      <c r="K317" s="2">
        <v>35205</v>
      </c>
      <c r="L317" s="2">
        <v>684574789622</v>
      </c>
      <c r="M317" s="2">
        <v>26290</v>
      </c>
      <c r="N317" s="2">
        <v>6.8958829200000002E-2</v>
      </c>
      <c r="O317" s="2">
        <v>2.6000000000000001E-6</v>
      </c>
      <c r="P317" s="2">
        <v>8717599</v>
      </c>
      <c r="Q317" s="2">
        <v>149</v>
      </c>
    </row>
    <row r="318" spans="1:17" x14ac:dyDescent="0.25">
      <c r="A318" s="1">
        <v>43292</v>
      </c>
      <c r="B318" s="2">
        <v>167768464.70899999</v>
      </c>
      <c r="C318" s="2">
        <v>91967448.817100003</v>
      </c>
      <c r="D318" s="2">
        <v>43587</v>
      </c>
      <c r="E318" s="2">
        <v>11870771447.1</v>
      </c>
      <c r="F318" s="2">
        <v>688.87</v>
      </c>
      <c r="G318" s="2">
        <v>321031008</v>
      </c>
      <c r="H318" s="2">
        <v>10885566894.9</v>
      </c>
      <c r="I318" s="2">
        <v>1775</v>
      </c>
      <c r="J318" s="2">
        <v>1.08090916</v>
      </c>
      <c r="K318" s="2">
        <v>33730</v>
      </c>
      <c r="L318" s="2">
        <v>666474414646</v>
      </c>
      <c r="M318" s="2">
        <v>24197</v>
      </c>
      <c r="N318" s="2">
        <v>0</v>
      </c>
      <c r="O318" s="2">
        <v>2.6000000000000001E-6</v>
      </c>
      <c r="P318" s="2">
        <v>13532981</v>
      </c>
      <c r="Q318" s="2">
        <v>142</v>
      </c>
    </row>
    <row r="319" spans="1:17" x14ac:dyDescent="0.25">
      <c r="A319" s="1">
        <v>43291</v>
      </c>
      <c r="B319" s="2">
        <v>129869540.51000001</v>
      </c>
      <c r="C319" s="2">
        <v>102458371.11300001</v>
      </c>
      <c r="D319" s="2">
        <v>15124</v>
      </c>
      <c r="E319" s="2">
        <v>12627498410.700001</v>
      </c>
      <c r="F319" s="2">
        <v>732.86</v>
      </c>
      <c r="G319" s="2">
        <v>374505984</v>
      </c>
      <c r="H319" s="2">
        <v>10890537062.700001</v>
      </c>
      <c r="I319" s="2">
        <v>1750</v>
      </c>
      <c r="J319" s="2">
        <v>0.98531703000000004</v>
      </c>
      <c r="K319" s="2">
        <v>34070</v>
      </c>
      <c r="L319" s="2">
        <v>729242161622</v>
      </c>
      <c r="M319" s="2">
        <v>22911</v>
      </c>
      <c r="N319" s="2">
        <v>30.276923666799998</v>
      </c>
      <c r="O319" s="2">
        <v>3.0000000000000001E-6</v>
      </c>
      <c r="P319" s="2">
        <v>6920261</v>
      </c>
      <c r="Q319" s="2">
        <v>140</v>
      </c>
    </row>
    <row r="320" spans="1:17" x14ac:dyDescent="0.25">
      <c r="A320" s="1">
        <v>43290</v>
      </c>
      <c r="B320" s="2">
        <v>190660079.78299999</v>
      </c>
      <c r="C320" s="2">
        <v>158929297.29499999</v>
      </c>
      <c r="D320" s="2">
        <v>20197</v>
      </c>
      <c r="E320" s="2">
        <v>12948654077.700001</v>
      </c>
      <c r="F320" s="2">
        <v>751.57</v>
      </c>
      <c r="G320" s="2">
        <v>338876000</v>
      </c>
      <c r="H320" s="2">
        <v>10914962525.1</v>
      </c>
      <c r="I320" s="2">
        <v>1725</v>
      </c>
      <c r="J320" s="2">
        <v>0.96981894999999996</v>
      </c>
      <c r="K320" s="2">
        <v>32046</v>
      </c>
      <c r="L320" s="2">
        <v>724037990049</v>
      </c>
      <c r="M320" s="2">
        <v>21463</v>
      </c>
      <c r="N320" s="2">
        <v>0.1085868336</v>
      </c>
      <c r="O320" s="2">
        <v>2.6000000000000001E-6</v>
      </c>
      <c r="P320" s="2">
        <v>8442379</v>
      </c>
      <c r="Q320" s="2">
        <v>138</v>
      </c>
    </row>
    <row r="321" spans="1:17" x14ac:dyDescent="0.25">
      <c r="A321" s="1">
        <v>43289</v>
      </c>
      <c r="B321" s="2">
        <v>119560150.807</v>
      </c>
      <c r="C321" s="2">
        <v>82175495.223800004</v>
      </c>
      <c r="D321" s="2">
        <v>15447</v>
      </c>
      <c r="E321" s="2">
        <v>13364387936.9</v>
      </c>
      <c r="F321" s="2">
        <v>775.78</v>
      </c>
      <c r="G321" s="2">
        <v>328903008</v>
      </c>
      <c r="H321" s="2">
        <v>10921171960.700001</v>
      </c>
      <c r="I321" s="2">
        <v>1900</v>
      </c>
      <c r="J321" s="2">
        <v>0.94104904</v>
      </c>
      <c r="K321" s="2">
        <v>32238</v>
      </c>
      <c r="L321" s="2">
        <v>623130091853</v>
      </c>
      <c r="M321" s="2">
        <v>22171</v>
      </c>
      <c r="N321" s="2">
        <v>2.9254896534000001</v>
      </c>
      <c r="O321" s="2">
        <v>2.6000000000000001E-6</v>
      </c>
      <c r="P321" s="2">
        <v>6678613</v>
      </c>
      <c r="Q321" s="2">
        <v>152</v>
      </c>
    </row>
    <row r="322" spans="1:17" x14ac:dyDescent="0.25">
      <c r="A322" s="1">
        <v>43288</v>
      </c>
      <c r="B322" s="2">
        <v>215744813.01300001</v>
      </c>
      <c r="C322" s="2">
        <v>161806403.06999999</v>
      </c>
      <c r="D322" s="2">
        <v>52584</v>
      </c>
      <c r="E322" s="2">
        <v>12690697150.299999</v>
      </c>
      <c r="F322" s="2">
        <v>736.76</v>
      </c>
      <c r="G322" s="2">
        <v>772953024</v>
      </c>
      <c r="H322" s="2">
        <v>10921861874.4</v>
      </c>
      <c r="I322" s="2">
        <v>1837.5</v>
      </c>
      <c r="J322" s="2">
        <v>0.89578519000000001</v>
      </c>
      <c r="K322" s="2">
        <v>31232</v>
      </c>
      <c r="L322" s="2">
        <v>700622603896</v>
      </c>
      <c r="M322" s="2">
        <v>21114</v>
      </c>
      <c r="N322" s="2">
        <v>0</v>
      </c>
      <c r="O322" s="2">
        <v>2.6000000000000001E-6</v>
      </c>
      <c r="P322" s="2">
        <v>14519049</v>
      </c>
      <c r="Q322" s="2">
        <v>147</v>
      </c>
    </row>
    <row r="323" spans="1:17" x14ac:dyDescent="0.25">
      <c r="A323" s="1">
        <v>43287</v>
      </c>
      <c r="B323" s="2">
        <v>329424823.63099998</v>
      </c>
      <c r="C323" s="2">
        <v>223436239.15000001</v>
      </c>
      <c r="D323" s="2">
        <v>14837</v>
      </c>
      <c r="E323" s="2">
        <v>12891275644</v>
      </c>
      <c r="F323" s="2">
        <v>748.48</v>
      </c>
      <c r="G323" s="2">
        <v>375967008</v>
      </c>
      <c r="H323" s="2">
        <v>10920984311.700001</v>
      </c>
      <c r="I323" s="2">
        <v>1675</v>
      </c>
      <c r="J323" s="2">
        <v>1.03818729</v>
      </c>
      <c r="K323" s="2">
        <v>31550</v>
      </c>
      <c r="L323" s="2">
        <v>729946322977</v>
      </c>
      <c r="M323" s="2">
        <v>21845</v>
      </c>
      <c r="N323" s="2">
        <v>20.566246928000002</v>
      </c>
      <c r="O323" s="2">
        <v>2.7800000000000001E-6</v>
      </c>
      <c r="P323" s="2">
        <v>6707096</v>
      </c>
      <c r="Q323" s="2">
        <v>134</v>
      </c>
    </row>
    <row r="324" spans="1:17" x14ac:dyDescent="0.25">
      <c r="A324" s="1">
        <v>43286</v>
      </c>
      <c r="B324" s="2">
        <v>336269463.278</v>
      </c>
      <c r="C324" s="2">
        <v>233400145.63999999</v>
      </c>
      <c r="D324" s="2">
        <v>49648</v>
      </c>
      <c r="E324" s="2">
        <v>13145143823.6</v>
      </c>
      <c r="F324" s="2">
        <v>763.29</v>
      </c>
      <c r="G324" s="2">
        <v>469756992</v>
      </c>
      <c r="H324" s="2">
        <v>10943938966.9</v>
      </c>
      <c r="I324" s="2">
        <v>1875</v>
      </c>
      <c r="J324" s="2">
        <v>1.03037734</v>
      </c>
      <c r="K324" s="2">
        <v>36800</v>
      </c>
      <c r="L324" s="2">
        <v>672741886848</v>
      </c>
      <c r="M324" s="2">
        <v>25576</v>
      </c>
      <c r="N324" s="2">
        <v>0</v>
      </c>
      <c r="O324" s="2">
        <v>2.6000000000000001E-6</v>
      </c>
      <c r="P324" s="2">
        <v>15006543</v>
      </c>
      <c r="Q324" s="2">
        <v>150</v>
      </c>
    </row>
    <row r="325" spans="1:17" x14ac:dyDescent="0.25">
      <c r="A325" s="1">
        <v>43285</v>
      </c>
      <c r="B325" s="2">
        <v>374493470.77499998</v>
      </c>
      <c r="C325" s="2">
        <v>209439131.43399999</v>
      </c>
      <c r="D325" s="2">
        <v>16833</v>
      </c>
      <c r="E325" s="2">
        <v>13051232153.700001</v>
      </c>
      <c r="F325" s="2">
        <v>757.93</v>
      </c>
      <c r="G325" s="2">
        <v>420710016</v>
      </c>
      <c r="H325" s="2">
        <v>10964218879.700001</v>
      </c>
      <c r="I325" s="2">
        <v>1787.5</v>
      </c>
      <c r="J325" s="2">
        <v>1.0700616199999999</v>
      </c>
      <c r="K325" s="2">
        <v>37489</v>
      </c>
      <c r="L325" s="2">
        <v>633386117481</v>
      </c>
      <c r="M325" s="2">
        <v>24049</v>
      </c>
      <c r="N325" s="2">
        <v>27.300555227699999</v>
      </c>
      <c r="O325" s="2">
        <v>2.7800000000000001E-6</v>
      </c>
      <c r="P325" s="2">
        <v>7810638</v>
      </c>
      <c r="Q325" s="2">
        <v>143</v>
      </c>
    </row>
    <row r="326" spans="1:17" x14ac:dyDescent="0.25">
      <c r="A326" s="1">
        <v>43284</v>
      </c>
      <c r="B326" s="2">
        <v>569710447.28199995</v>
      </c>
      <c r="C326" s="2">
        <v>180999875.40700001</v>
      </c>
      <c r="D326" s="2">
        <v>72761</v>
      </c>
      <c r="E326" s="2">
        <v>13345034621.299999</v>
      </c>
      <c r="F326" s="2">
        <v>775.07</v>
      </c>
      <c r="G326" s="2">
        <v>478640000</v>
      </c>
      <c r="H326" s="2">
        <v>10996867164.6</v>
      </c>
      <c r="I326" s="2">
        <v>1812.5</v>
      </c>
      <c r="J326" s="2">
        <v>1.2793162499999999</v>
      </c>
      <c r="K326" s="2">
        <v>43630</v>
      </c>
      <c r="L326" s="2">
        <v>646496821471</v>
      </c>
      <c r="M326" s="2">
        <v>30878</v>
      </c>
      <c r="N326" s="2">
        <v>0</v>
      </c>
      <c r="O326" s="2">
        <v>2.6000000000000001E-6</v>
      </c>
      <c r="P326" s="2">
        <v>19883944</v>
      </c>
      <c r="Q326" s="2">
        <v>145</v>
      </c>
    </row>
    <row r="327" spans="1:17" x14ac:dyDescent="0.25">
      <c r="A327" s="1">
        <v>43283</v>
      </c>
      <c r="B327" s="2">
        <v>303699051.41299999</v>
      </c>
      <c r="C327" s="2">
        <v>175878870.57100001</v>
      </c>
      <c r="D327" s="2">
        <v>62609</v>
      </c>
      <c r="E327" s="2">
        <v>12727056188.9</v>
      </c>
      <c r="F327" s="2">
        <v>739.25</v>
      </c>
      <c r="G327" s="2">
        <v>413921984</v>
      </c>
      <c r="H327" s="2">
        <v>11020672017.6</v>
      </c>
      <c r="I327" s="2">
        <v>1712.5</v>
      </c>
      <c r="J327" s="2">
        <v>1.24937202</v>
      </c>
      <c r="K327" s="2">
        <v>82273</v>
      </c>
      <c r="L327" s="2">
        <v>694851490395</v>
      </c>
      <c r="M327" s="2">
        <v>26330</v>
      </c>
      <c r="N327" s="2">
        <v>2.3907345E-2</v>
      </c>
      <c r="O327" s="2">
        <v>1.9199999999999998E-6</v>
      </c>
      <c r="P327" s="2">
        <v>16423935</v>
      </c>
      <c r="Q327" s="2">
        <v>137</v>
      </c>
    </row>
    <row r="328" spans="1:17" x14ac:dyDescent="0.25">
      <c r="A328" s="1">
        <v>43282</v>
      </c>
      <c r="B328" s="2">
        <v>156239744.08000001</v>
      </c>
      <c r="C328" s="2">
        <v>106589856.756</v>
      </c>
      <c r="D328" s="2">
        <v>42258</v>
      </c>
      <c r="E328" s="2">
        <v>12896762035.1</v>
      </c>
      <c r="F328" s="2">
        <v>749.18</v>
      </c>
      <c r="G328" s="2">
        <v>558793984</v>
      </c>
      <c r="H328" s="2">
        <v>11030988722.1</v>
      </c>
      <c r="I328" s="2">
        <v>2025</v>
      </c>
      <c r="J328" s="2">
        <v>0.83280977</v>
      </c>
      <c r="K328" s="2">
        <v>59086</v>
      </c>
      <c r="L328" s="2">
        <v>641673569621</v>
      </c>
      <c r="M328" s="2">
        <v>24111</v>
      </c>
      <c r="N328" s="2">
        <v>2.56669068E-2</v>
      </c>
      <c r="O328" s="2">
        <v>1.9199999999999998E-6</v>
      </c>
      <c r="P328" s="2">
        <v>11719458</v>
      </c>
      <c r="Q328" s="2">
        <v>162</v>
      </c>
    </row>
    <row r="329" spans="1:17" x14ac:dyDescent="0.25">
      <c r="A329" s="1">
        <v>43281</v>
      </c>
      <c r="B329" s="2">
        <v>158167250.35600001</v>
      </c>
      <c r="C329" s="2">
        <v>107877526.286</v>
      </c>
      <c r="D329" s="2">
        <v>17196</v>
      </c>
      <c r="E329" s="2">
        <v>12341935922.700001</v>
      </c>
      <c r="F329" s="2">
        <v>717.04</v>
      </c>
      <c r="G329" s="2">
        <v>576081024</v>
      </c>
      <c r="H329" s="2">
        <v>11036154556.700001</v>
      </c>
      <c r="I329" s="2">
        <v>1800</v>
      </c>
      <c r="J329" s="2">
        <v>1.2816727800000001</v>
      </c>
      <c r="K329" s="2">
        <v>37587</v>
      </c>
      <c r="L329" s="2">
        <v>598578095070</v>
      </c>
      <c r="M329" s="2">
        <v>22744</v>
      </c>
      <c r="N329" s="2">
        <v>22.0103243736</v>
      </c>
      <c r="O329" s="2">
        <v>2.4899999999999999E-6</v>
      </c>
      <c r="P329" s="2">
        <v>7298054</v>
      </c>
      <c r="Q329" s="2">
        <v>144</v>
      </c>
    </row>
    <row r="330" spans="1:17" x14ac:dyDescent="0.25">
      <c r="A330" s="1">
        <v>43280</v>
      </c>
      <c r="B330" s="2">
        <v>189418743.13499999</v>
      </c>
      <c r="C330" s="2">
        <v>155955138.63600001</v>
      </c>
      <c r="D330" s="2">
        <v>13754</v>
      </c>
      <c r="E330" s="2">
        <v>11410618880.1</v>
      </c>
      <c r="F330" s="2">
        <v>663</v>
      </c>
      <c r="G330" s="2">
        <v>407536000</v>
      </c>
      <c r="H330" s="2">
        <v>11036009890.700001</v>
      </c>
      <c r="I330" s="2">
        <v>1737.5</v>
      </c>
      <c r="J330" s="2">
        <v>1.14681893</v>
      </c>
      <c r="K330" s="2">
        <v>34366</v>
      </c>
      <c r="L330" s="2">
        <v>582641872519</v>
      </c>
      <c r="M330" s="2">
        <v>22916</v>
      </c>
      <c r="N330" s="2">
        <v>97.140492539999997</v>
      </c>
      <c r="O330" s="2">
        <v>3.7500000000000001E-6</v>
      </c>
      <c r="P330" s="2">
        <v>6362325</v>
      </c>
      <c r="Q330" s="2">
        <v>139</v>
      </c>
    </row>
    <row r="331" spans="1:17" x14ac:dyDescent="0.25">
      <c r="A331" s="1">
        <v>43279</v>
      </c>
      <c r="B331" s="2">
        <v>115461694.316</v>
      </c>
      <c r="C331" s="2">
        <v>85960377.354900002</v>
      </c>
      <c r="D331" s="2">
        <v>13010</v>
      </c>
      <c r="E331" s="2">
        <v>12299147227.5</v>
      </c>
      <c r="F331" s="2">
        <v>714.7</v>
      </c>
      <c r="G331" s="2">
        <v>340686016</v>
      </c>
      <c r="H331" s="2">
        <v>11041953500</v>
      </c>
      <c r="I331" s="2">
        <v>1500</v>
      </c>
      <c r="J331" s="2">
        <v>0.94346187000000004</v>
      </c>
      <c r="K331" s="2">
        <v>35449</v>
      </c>
      <c r="L331" s="2">
        <v>732937322454</v>
      </c>
      <c r="M331" s="2">
        <v>22338</v>
      </c>
      <c r="N331" s="2">
        <v>67.893391054999995</v>
      </c>
      <c r="O331" s="2">
        <v>3.7400000000000002E-6</v>
      </c>
      <c r="P331" s="2">
        <v>6528538</v>
      </c>
      <c r="Q331" s="2">
        <v>120</v>
      </c>
    </row>
    <row r="332" spans="1:17" x14ac:dyDescent="0.25">
      <c r="A332" s="1">
        <v>43278</v>
      </c>
      <c r="B332" s="2">
        <v>207331472.92500001</v>
      </c>
      <c r="C332" s="2">
        <v>166685001.854</v>
      </c>
      <c r="D332" s="2">
        <v>14345</v>
      </c>
      <c r="E332" s="2">
        <v>12015471670.700001</v>
      </c>
      <c r="F332" s="2">
        <v>698.28</v>
      </c>
      <c r="G332" s="2">
        <v>333936992</v>
      </c>
      <c r="H332" s="2">
        <v>11049852152.700001</v>
      </c>
      <c r="I332" s="2">
        <v>2037.5</v>
      </c>
      <c r="J332" s="2">
        <v>1.2594166899999999</v>
      </c>
      <c r="K332" s="2">
        <v>38656</v>
      </c>
      <c r="L332" s="2">
        <v>619678262461</v>
      </c>
      <c r="M332" s="2">
        <v>23361</v>
      </c>
      <c r="N332" s="2">
        <v>51.671141887200001</v>
      </c>
      <c r="O332" s="2">
        <v>3.7400000000000002E-6</v>
      </c>
      <c r="P332" s="2">
        <v>7232167</v>
      </c>
      <c r="Q332" s="2">
        <v>163</v>
      </c>
    </row>
    <row r="333" spans="1:17" x14ac:dyDescent="0.25">
      <c r="A333" s="1">
        <v>43277</v>
      </c>
      <c r="B333" s="2">
        <v>202631304.89700001</v>
      </c>
      <c r="C333" s="2">
        <v>165752925.78299999</v>
      </c>
      <c r="D333" s="2">
        <v>13693</v>
      </c>
      <c r="E333" s="2">
        <v>13028685354.4</v>
      </c>
      <c r="F333" s="2">
        <v>757.25</v>
      </c>
      <c r="G333" s="2">
        <v>357417984</v>
      </c>
      <c r="H333" s="2">
        <v>11058344231.9</v>
      </c>
      <c r="I333" s="2">
        <v>1762.5</v>
      </c>
      <c r="J333" s="2">
        <v>1.0139570499999999</v>
      </c>
      <c r="K333" s="2">
        <v>34625</v>
      </c>
      <c r="L333" s="2">
        <v>638247489811</v>
      </c>
      <c r="M333" s="2">
        <v>23420</v>
      </c>
      <c r="N333" s="2">
        <v>39.493608927499999</v>
      </c>
      <c r="O333" s="2">
        <v>3.8199999999999998E-6</v>
      </c>
      <c r="P333" s="2">
        <v>6562147</v>
      </c>
      <c r="Q333" s="2">
        <v>141</v>
      </c>
    </row>
    <row r="334" spans="1:17" x14ac:dyDescent="0.25">
      <c r="A334" s="1">
        <v>43276</v>
      </c>
      <c r="B334" s="2">
        <v>206950386.88600001</v>
      </c>
      <c r="C334" s="2">
        <v>166170635.59599999</v>
      </c>
      <c r="D334" s="2">
        <v>13187</v>
      </c>
      <c r="E334" s="2">
        <v>12879006853.9</v>
      </c>
      <c r="F334" s="2">
        <v>748.63</v>
      </c>
      <c r="G334" s="2">
        <v>447070016</v>
      </c>
      <c r="H334" s="2">
        <v>11107444602.4</v>
      </c>
      <c r="I334" s="2">
        <v>1687.5</v>
      </c>
      <c r="J334" s="2">
        <v>1.31257997</v>
      </c>
      <c r="K334" s="2">
        <v>46230</v>
      </c>
      <c r="L334" s="2">
        <v>624900775523</v>
      </c>
      <c r="M334" s="2">
        <v>22385</v>
      </c>
      <c r="N334" s="2">
        <v>59.888700609899999</v>
      </c>
      <c r="O334" s="2">
        <v>3.8500000000000004E-6</v>
      </c>
      <c r="P334" s="2">
        <v>9406791</v>
      </c>
      <c r="Q334" s="2">
        <v>135</v>
      </c>
    </row>
    <row r="335" spans="1:17" x14ac:dyDescent="0.25">
      <c r="A335" s="1">
        <v>43275</v>
      </c>
      <c r="B335" s="2">
        <v>185681522.01800001</v>
      </c>
      <c r="C335" s="2">
        <v>119806510.22499999</v>
      </c>
      <c r="D335" s="2">
        <v>12984</v>
      </c>
      <c r="E335" s="2">
        <v>13152947192</v>
      </c>
      <c r="F335" s="2">
        <v>764.62</v>
      </c>
      <c r="G335" s="2">
        <v>642142016</v>
      </c>
      <c r="H335" s="2">
        <v>11129791595.4</v>
      </c>
      <c r="I335" s="2">
        <v>1937.5</v>
      </c>
      <c r="J335" s="2">
        <v>1.2028947000000001</v>
      </c>
      <c r="K335" s="2">
        <v>31654</v>
      </c>
      <c r="L335" s="2">
        <v>602948297555</v>
      </c>
      <c r="M335" s="2">
        <v>22443</v>
      </c>
      <c r="N335" s="2">
        <v>65.213583425600007</v>
      </c>
      <c r="O335" s="2">
        <v>3.7400000000000002E-6</v>
      </c>
      <c r="P335" s="2">
        <v>6038784</v>
      </c>
      <c r="Q335" s="2">
        <v>155</v>
      </c>
    </row>
    <row r="336" spans="1:17" x14ac:dyDescent="0.25">
      <c r="A336" s="1">
        <v>43274</v>
      </c>
      <c r="B336" s="2">
        <v>118071777.333</v>
      </c>
      <c r="C336" s="2">
        <v>84809474.890799999</v>
      </c>
      <c r="D336" s="2">
        <v>14122</v>
      </c>
      <c r="E336" s="2">
        <v>12990026005.6</v>
      </c>
      <c r="F336" s="2">
        <v>755.24</v>
      </c>
      <c r="G336" s="2">
        <v>397206016</v>
      </c>
      <c r="H336" s="2">
        <v>11139949607.5</v>
      </c>
      <c r="I336" s="2">
        <v>1887.5</v>
      </c>
      <c r="J336" s="2">
        <v>1.0548146300000001</v>
      </c>
      <c r="K336" s="2">
        <v>32277</v>
      </c>
      <c r="L336" s="2">
        <v>610687220733</v>
      </c>
      <c r="M336" s="2">
        <v>22696</v>
      </c>
      <c r="N336" s="2">
        <v>26.153281484000001</v>
      </c>
      <c r="O336" s="2">
        <v>3.8199999999999998E-6</v>
      </c>
      <c r="P336" s="2">
        <v>6362068</v>
      </c>
      <c r="Q336" s="2">
        <v>151</v>
      </c>
    </row>
    <row r="337" spans="1:17" x14ac:dyDescent="0.25">
      <c r="A337" s="1">
        <v>43273</v>
      </c>
      <c r="B337" s="2">
        <v>261872920.014</v>
      </c>
      <c r="C337" s="2">
        <v>204444675.87099999</v>
      </c>
      <c r="D337" s="2">
        <v>14477</v>
      </c>
      <c r="E337" s="2">
        <v>15047844523.6</v>
      </c>
      <c r="F337" s="2">
        <v>874.97</v>
      </c>
      <c r="G337" s="2">
        <v>589187968</v>
      </c>
      <c r="H337" s="2">
        <v>11149541280.4</v>
      </c>
      <c r="I337" s="2">
        <v>1562.5</v>
      </c>
      <c r="J337" s="2">
        <v>1.38166733</v>
      </c>
      <c r="K337" s="2">
        <v>37662</v>
      </c>
      <c r="L337" s="2">
        <v>664425608371</v>
      </c>
      <c r="M337" s="2">
        <v>24810</v>
      </c>
      <c r="N337" s="2">
        <v>102.229709861</v>
      </c>
      <c r="O337" s="2">
        <v>3.8199999999999998E-6</v>
      </c>
      <c r="P337" s="2">
        <v>7795537</v>
      </c>
      <c r="Q337" s="2">
        <v>125</v>
      </c>
    </row>
    <row r="338" spans="1:17" x14ac:dyDescent="0.25">
      <c r="A338" s="1">
        <v>43272</v>
      </c>
      <c r="B338" s="2">
        <v>354494734.76300001</v>
      </c>
      <c r="C338" s="2">
        <v>303292990.69499999</v>
      </c>
      <c r="D338" s="2">
        <v>20775</v>
      </c>
      <c r="E338" s="2">
        <v>15315905183</v>
      </c>
      <c r="F338" s="2">
        <v>890.64</v>
      </c>
      <c r="G338" s="2">
        <v>361313984</v>
      </c>
      <c r="H338" s="2">
        <v>11173372987.700001</v>
      </c>
      <c r="I338" s="2">
        <v>1762.5</v>
      </c>
      <c r="J338" s="2">
        <v>1.93018559</v>
      </c>
      <c r="K338" s="2">
        <v>40516</v>
      </c>
      <c r="L338" s="2">
        <v>642591122559</v>
      </c>
      <c r="M338" s="2">
        <v>194284</v>
      </c>
      <c r="N338" s="2">
        <v>8.8075834919999991</v>
      </c>
      <c r="O338" s="2">
        <v>1.0000000000000001E-5</v>
      </c>
      <c r="P338" s="2">
        <v>40345947</v>
      </c>
      <c r="Q338" s="2">
        <v>141</v>
      </c>
    </row>
    <row r="339" spans="1:17" x14ac:dyDescent="0.25">
      <c r="A339" s="1">
        <v>43271</v>
      </c>
      <c r="B339" s="2">
        <v>237353489.43599999</v>
      </c>
      <c r="C339" s="2">
        <v>163102901.396</v>
      </c>
      <c r="D339" s="2">
        <v>14151</v>
      </c>
      <c r="E339" s="2">
        <v>15573430240.799999</v>
      </c>
      <c r="F339" s="2">
        <v>905.71</v>
      </c>
      <c r="G339" s="2">
        <v>430131008</v>
      </c>
      <c r="H339" s="2">
        <v>11153484495.299999</v>
      </c>
      <c r="I339" s="2">
        <v>1800</v>
      </c>
      <c r="J339" s="2">
        <v>1.2490402199999999</v>
      </c>
      <c r="K339" s="2">
        <v>36847</v>
      </c>
      <c r="L339" s="2">
        <v>639713998936</v>
      </c>
      <c r="M339" s="2">
        <v>25348</v>
      </c>
      <c r="N339" s="2">
        <v>62.962559068499999</v>
      </c>
      <c r="O339" s="2">
        <v>3.8199999999999998E-6</v>
      </c>
      <c r="P339" s="2">
        <v>7470341</v>
      </c>
      <c r="Q339" s="2">
        <v>144</v>
      </c>
    </row>
    <row r="340" spans="1:17" x14ac:dyDescent="0.25">
      <c r="A340" s="1">
        <v>43270</v>
      </c>
      <c r="B340" s="2">
        <v>274979553.05699998</v>
      </c>
      <c r="C340" s="2">
        <v>220296279.03</v>
      </c>
      <c r="D340" s="2">
        <v>14102</v>
      </c>
      <c r="E340" s="2">
        <v>15232760073</v>
      </c>
      <c r="F340" s="2">
        <v>885.99</v>
      </c>
      <c r="G340" s="2">
        <v>397230016</v>
      </c>
      <c r="H340" s="2">
        <v>11157022349</v>
      </c>
      <c r="I340" s="2">
        <v>1912.5</v>
      </c>
      <c r="J340" s="2">
        <v>1.41570449</v>
      </c>
      <c r="K340" s="2">
        <v>40408</v>
      </c>
      <c r="L340" s="2">
        <v>650821670213</v>
      </c>
      <c r="M340" s="2">
        <v>28345</v>
      </c>
      <c r="N340" s="2">
        <v>49.442282114400001</v>
      </c>
      <c r="O340" s="2">
        <v>3.8199999999999998E-6</v>
      </c>
      <c r="P340" s="2">
        <v>8296891</v>
      </c>
      <c r="Q340" s="2">
        <v>153</v>
      </c>
    </row>
    <row r="341" spans="1:17" x14ac:dyDescent="0.25">
      <c r="A341" s="1">
        <v>43269</v>
      </c>
      <c r="B341" s="2">
        <v>198998185.31299999</v>
      </c>
      <c r="C341" s="2">
        <v>173460600.706</v>
      </c>
      <c r="D341" s="2">
        <v>13355</v>
      </c>
      <c r="E341" s="2">
        <v>14609045969.200001</v>
      </c>
      <c r="F341" s="2">
        <v>849.81</v>
      </c>
      <c r="G341" s="2">
        <v>381404000</v>
      </c>
      <c r="H341" s="2">
        <v>11160532644.6</v>
      </c>
      <c r="I341" s="2">
        <v>1862.5</v>
      </c>
      <c r="J341" s="2">
        <v>1.25133907</v>
      </c>
      <c r="K341" s="2">
        <v>36933</v>
      </c>
      <c r="L341" s="2">
        <v>628747530860</v>
      </c>
      <c r="M341" s="2">
        <v>25933</v>
      </c>
      <c r="N341" s="2">
        <v>49.956335793000001</v>
      </c>
      <c r="O341" s="2">
        <v>3.8199999999999998E-6</v>
      </c>
      <c r="P341" s="2">
        <v>14713116</v>
      </c>
      <c r="Q341" s="2">
        <v>149</v>
      </c>
    </row>
    <row r="342" spans="1:17" x14ac:dyDescent="0.25">
      <c r="A342" s="1">
        <v>43268</v>
      </c>
      <c r="B342" s="2">
        <v>129672276.96699999</v>
      </c>
      <c r="C342" s="2">
        <v>101563133.204</v>
      </c>
      <c r="D342" s="2">
        <v>11092</v>
      </c>
      <c r="E342" s="2">
        <v>14663378726.700001</v>
      </c>
      <c r="F342" s="2">
        <v>853.06</v>
      </c>
      <c r="G342" s="2">
        <v>290560992</v>
      </c>
      <c r="H342" s="2">
        <v>11177415433.6</v>
      </c>
      <c r="I342" s="2">
        <v>1800</v>
      </c>
      <c r="J342" s="2">
        <v>0.91989350999999997</v>
      </c>
      <c r="K342" s="2">
        <v>29200</v>
      </c>
      <c r="L342" s="2">
        <v>634835051902</v>
      </c>
      <c r="M342" s="2">
        <v>20659</v>
      </c>
      <c r="N342" s="2">
        <v>25.4483238386</v>
      </c>
      <c r="O342" s="2">
        <v>3.8199999999999998E-6</v>
      </c>
      <c r="P342" s="2">
        <v>5277738</v>
      </c>
      <c r="Q342" s="2">
        <v>144</v>
      </c>
    </row>
    <row r="343" spans="1:17" x14ac:dyDescent="0.25">
      <c r="A343" s="1">
        <v>43267</v>
      </c>
      <c r="B343" s="2">
        <v>123484878.28300001</v>
      </c>
      <c r="C343" s="2">
        <v>95807806.271400005</v>
      </c>
      <c r="D343" s="2">
        <v>11207</v>
      </c>
      <c r="E343" s="2">
        <v>14560420743.700001</v>
      </c>
      <c r="F343" s="2">
        <v>847.16</v>
      </c>
      <c r="G343" s="2">
        <v>311148000</v>
      </c>
      <c r="H343" s="2">
        <v>11181399164.5</v>
      </c>
      <c r="I343" s="2">
        <v>1750</v>
      </c>
      <c r="J343" s="2">
        <v>0.80606186999999996</v>
      </c>
      <c r="K343" s="2">
        <v>30306</v>
      </c>
      <c r="L343" s="2">
        <v>647844651795</v>
      </c>
      <c r="M343" s="2">
        <v>21548</v>
      </c>
      <c r="N343" s="2">
        <v>26.683481401200002</v>
      </c>
      <c r="O343" s="2">
        <v>3.32E-6</v>
      </c>
      <c r="P343" s="2">
        <v>5184404</v>
      </c>
      <c r="Q343" s="2">
        <v>140</v>
      </c>
    </row>
    <row r="344" spans="1:17" x14ac:dyDescent="0.25">
      <c r="A344" s="1">
        <v>43266</v>
      </c>
      <c r="B344" s="2">
        <v>276186745.5</v>
      </c>
      <c r="C344" s="2">
        <v>149652810.954</v>
      </c>
      <c r="D344" s="2">
        <v>12739</v>
      </c>
      <c r="E344" s="2">
        <v>15405563098.200001</v>
      </c>
      <c r="F344" s="2">
        <v>896.43</v>
      </c>
      <c r="G344" s="2">
        <v>371601984</v>
      </c>
      <c r="H344" s="2">
        <v>11184437178.5</v>
      </c>
      <c r="I344" s="2">
        <v>1712.5</v>
      </c>
      <c r="J344" s="2">
        <v>1.1521495799999999</v>
      </c>
      <c r="K344" s="2">
        <v>35743</v>
      </c>
      <c r="L344" s="2">
        <v>668422178459</v>
      </c>
      <c r="M344" s="2">
        <v>23864</v>
      </c>
      <c r="N344" s="2">
        <v>89.6408216751</v>
      </c>
      <c r="O344" s="2">
        <v>3.7400000000000002E-6</v>
      </c>
      <c r="P344" s="2">
        <v>6502877</v>
      </c>
      <c r="Q344" s="2">
        <v>137</v>
      </c>
    </row>
    <row r="345" spans="1:17" x14ac:dyDescent="0.25">
      <c r="A345" s="1">
        <v>43265</v>
      </c>
      <c r="B345" s="2">
        <v>334991110.95200002</v>
      </c>
      <c r="C345" s="2">
        <v>198999873.25400001</v>
      </c>
      <c r="D345" s="2">
        <v>14325</v>
      </c>
      <c r="E345" s="2">
        <v>14509387915.5</v>
      </c>
      <c r="F345" s="2">
        <v>844.36</v>
      </c>
      <c r="G345" s="2">
        <v>522806016</v>
      </c>
      <c r="H345" s="2">
        <v>11210786242.299999</v>
      </c>
      <c r="I345" s="2">
        <v>1787.5</v>
      </c>
      <c r="J345" s="2">
        <v>1.50639926</v>
      </c>
      <c r="K345" s="2">
        <v>38985</v>
      </c>
      <c r="L345" s="2">
        <v>639647345083</v>
      </c>
      <c r="M345" s="2">
        <v>25986</v>
      </c>
      <c r="N345" s="2">
        <v>79.379381268000003</v>
      </c>
      <c r="O345" s="2">
        <v>3.8199999999999998E-6</v>
      </c>
      <c r="P345" s="2">
        <v>7402743</v>
      </c>
      <c r="Q345" s="2">
        <v>143</v>
      </c>
    </row>
    <row r="346" spans="1:17" x14ac:dyDescent="0.25">
      <c r="A346" s="1">
        <v>43264</v>
      </c>
      <c r="B346" s="2">
        <v>270798313.30500001</v>
      </c>
      <c r="C346" s="2">
        <v>167779465.11700001</v>
      </c>
      <c r="D346" s="2">
        <v>14523</v>
      </c>
      <c r="E346" s="2">
        <v>15066814478.6</v>
      </c>
      <c r="F346" s="2">
        <v>876.89</v>
      </c>
      <c r="G346" s="2">
        <v>547672000</v>
      </c>
      <c r="H346" s="2">
        <v>11203214737.9</v>
      </c>
      <c r="I346" s="2">
        <v>1800</v>
      </c>
      <c r="J346" s="2">
        <v>1.3942414299999999</v>
      </c>
      <c r="K346" s="2">
        <v>38522</v>
      </c>
      <c r="L346" s="2">
        <v>656322734258</v>
      </c>
      <c r="M346" s="2">
        <v>24611</v>
      </c>
      <c r="N346" s="2">
        <v>112.36106304400001</v>
      </c>
      <c r="O346" s="2">
        <v>3.8199999999999998E-6</v>
      </c>
      <c r="P346" s="2">
        <v>7205829</v>
      </c>
      <c r="Q346" s="2">
        <v>144</v>
      </c>
    </row>
    <row r="347" spans="1:17" x14ac:dyDescent="0.25">
      <c r="A347" s="1">
        <v>43263</v>
      </c>
      <c r="B347" s="2">
        <v>596074975.28199995</v>
      </c>
      <c r="C347" s="2">
        <v>306540720.46200001</v>
      </c>
      <c r="D347" s="2">
        <v>16269</v>
      </c>
      <c r="E347" s="2">
        <v>16443991670.5</v>
      </c>
      <c r="F347" s="2">
        <v>957.14</v>
      </c>
      <c r="G347" s="2">
        <v>523140992</v>
      </c>
      <c r="H347" s="2">
        <v>11217320064</v>
      </c>
      <c r="I347" s="2">
        <v>1875</v>
      </c>
      <c r="J347" s="2">
        <v>1.45577333</v>
      </c>
      <c r="K347" s="2">
        <v>43563</v>
      </c>
      <c r="L347" s="2">
        <v>656660224220</v>
      </c>
      <c r="M347" s="2">
        <v>29623</v>
      </c>
      <c r="N347" s="2">
        <v>75.200699948199997</v>
      </c>
      <c r="O347" s="2">
        <v>3.8199999999999998E-6</v>
      </c>
      <c r="P347" s="2">
        <v>8173940</v>
      </c>
      <c r="Q347" s="2">
        <v>150</v>
      </c>
    </row>
    <row r="348" spans="1:17" x14ac:dyDescent="0.25">
      <c r="A348" s="1">
        <v>43262</v>
      </c>
      <c r="B348" s="2">
        <v>251672237.919</v>
      </c>
      <c r="C348" s="2">
        <v>186775964.752</v>
      </c>
      <c r="D348" s="2">
        <v>17091</v>
      </c>
      <c r="E348" s="2">
        <v>16107026964.9</v>
      </c>
      <c r="F348" s="2">
        <v>937.63</v>
      </c>
      <c r="G348" s="2">
        <v>619150976</v>
      </c>
      <c r="H348" s="2">
        <v>11260397592.1</v>
      </c>
      <c r="I348" s="2">
        <v>1862.5</v>
      </c>
      <c r="J348" s="2">
        <v>1.54074322</v>
      </c>
      <c r="K348" s="2">
        <v>39358</v>
      </c>
      <c r="L348" s="2">
        <v>670122764316</v>
      </c>
      <c r="M348" s="2">
        <v>28338</v>
      </c>
      <c r="N348" s="2">
        <v>66.548814322799998</v>
      </c>
      <c r="O348" s="2">
        <v>5.22E-6</v>
      </c>
      <c r="P348" s="2">
        <v>8494488</v>
      </c>
      <c r="Q348" s="2">
        <v>149</v>
      </c>
    </row>
    <row r="349" spans="1:17" x14ac:dyDescent="0.25">
      <c r="A349" s="1">
        <v>43261</v>
      </c>
      <c r="B349" s="2">
        <v>281883403.88300002</v>
      </c>
      <c r="C349" s="2">
        <v>223431174.12799999</v>
      </c>
      <c r="D349" s="2">
        <v>15242</v>
      </c>
      <c r="E349" s="2">
        <v>18678704354.599998</v>
      </c>
      <c r="F349" s="2">
        <v>1087.46</v>
      </c>
      <c r="G349" s="2">
        <v>757265984</v>
      </c>
      <c r="H349" s="2">
        <v>11277734760.799999</v>
      </c>
      <c r="I349" s="2">
        <v>1612.5</v>
      </c>
      <c r="J349" s="2">
        <v>1.31940363</v>
      </c>
      <c r="K349" s="2">
        <v>36957</v>
      </c>
      <c r="L349" s="2">
        <v>696559144327</v>
      </c>
      <c r="M349" s="2">
        <v>26841</v>
      </c>
      <c r="N349" s="2">
        <v>90.926913063800001</v>
      </c>
      <c r="O349" s="2">
        <v>6.7599999999999997E-6</v>
      </c>
      <c r="P349" s="2">
        <v>7576207</v>
      </c>
      <c r="Q349" s="2">
        <v>129</v>
      </c>
    </row>
    <row r="350" spans="1:17" x14ac:dyDescent="0.25">
      <c r="A350" s="1">
        <v>43260</v>
      </c>
      <c r="B350" s="2">
        <v>98590018.416800007</v>
      </c>
      <c r="C350" s="2">
        <v>70293798.862800002</v>
      </c>
      <c r="D350" s="2">
        <v>12834</v>
      </c>
      <c r="E350" s="2">
        <v>19190374515</v>
      </c>
      <c r="F350" s="2">
        <v>1117.3499999999999</v>
      </c>
      <c r="G350" s="2">
        <v>407028000</v>
      </c>
      <c r="H350" s="2">
        <v>11293991632.1</v>
      </c>
      <c r="I350" s="2">
        <v>1825</v>
      </c>
      <c r="J350" s="2">
        <v>0.99517040000000001</v>
      </c>
      <c r="K350" s="2">
        <v>34221</v>
      </c>
      <c r="L350" s="2">
        <v>676742896619</v>
      </c>
      <c r="M350" s="2">
        <v>22281</v>
      </c>
      <c r="N350" s="2">
        <v>39.415124618999997</v>
      </c>
      <c r="O350" s="2">
        <v>3.8199999999999998E-6</v>
      </c>
      <c r="P350" s="2">
        <v>7292214</v>
      </c>
      <c r="Q350" s="2">
        <v>146</v>
      </c>
    </row>
    <row r="351" spans="1:17" x14ac:dyDescent="0.25">
      <c r="A351" s="1">
        <v>43259</v>
      </c>
      <c r="B351" s="2">
        <v>221454091.79800001</v>
      </c>
      <c r="C351" s="2">
        <v>191845365.10600001</v>
      </c>
      <c r="D351" s="2">
        <v>16067</v>
      </c>
      <c r="E351" s="2">
        <v>19669024037.599998</v>
      </c>
      <c r="F351" s="2">
        <v>1145.3399999999999</v>
      </c>
      <c r="G351" s="2">
        <v>503856000</v>
      </c>
      <c r="H351" s="2">
        <v>11294343881.5</v>
      </c>
      <c r="I351" s="2">
        <v>1862.5</v>
      </c>
      <c r="J351" s="2">
        <v>1.2577756499999999</v>
      </c>
      <c r="K351" s="2">
        <v>39264</v>
      </c>
      <c r="L351" s="2">
        <v>699335065132</v>
      </c>
      <c r="M351" s="2">
        <v>27847</v>
      </c>
      <c r="N351" s="2">
        <v>47.496848931000002</v>
      </c>
      <c r="O351" s="2">
        <v>3.8199999999999998E-6</v>
      </c>
      <c r="P351" s="2">
        <v>7853609</v>
      </c>
      <c r="Q351" s="2">
        <v>149</v>
      </c>
    </row>
    <row r="352" spans="1:17" x14ac:dyDescent="0.25">
      <c r="A352" s="1">
        <v>43258</v>
      </c>
      <c r="B352" s="2">
        <v>183305880.48300001</v>
      </c>
      <c r="C352" s="2">
        <v>126385278.7</v>
      </c>
      <c r="D352" s="2">
        <v>15307</v>
      </c>
      <c r="E352" s="2">
        <v>19491916059</v>
      </c>
      <c r="F352" s="2">
        <v>1135.1500000000001</v>
      </c>
      <c r="G352" s="2">
        <v>561721024</v>
      </c>
      <c r="H352" s="2">
        <v>11297161227.1</v>
      </c>
      <c r="I352" s="2">
        <v>1725</v>
      </c>
      <c r="J352" s="2">
        <v>1.3815589500000001</v>
      </c>
      <c r="K352" s="2">
        <v>38588</v>
      </c>
      <c r="L352" s="2">
        <v>713617244953</v>
      </c>
      <c r="M352" s="2">
        <v>24997</v>
      </c>
      <c r="N352" s="2">
        <v>70.522544578500003</v>
      </c>
      <c r="O352" s="2">
        <v>3.8199999999999998E-6</v>
      </c>
      <c r="P352" s="2">
        <v>7339088</v>
      </c>
      <c r="Q352" s="2">
        <v>138</v>
      </c>
    </row>
    <row r="353" spans="1:17" x14ac:dyDescent="0.25">
      <c r="A353" s="1">
        <v>43257</v>
      </c>
      <c r="B353" s="2">
        <v>239331891.102</v>
      </c>
      <c r="C353" s="2">
        <v>183019629.02500001</v>
      </c>
      <c r="D353" s="2">
        <v>15798</v>
      </c>
      <c r="E353" s="2">
        <v>19870777435</v>
      </c>
      <c r="F353" s="2">
        <v>1157.33</v>
      </c>
      <c r="G353" s="2">
        <v>608502976</v>
      </c>
      <c r="H353" s="2">
        <v>11297875077.6</v>
      </c>
      <c r="I353" s="2">
        <v>1687.5</v>
      </c>
      <c r="J353" s="2">
        <v>1.41522638</v>
      </c>
      <c r="K353" s="2">
        <v>45594</v>
      </c>
      <c r="L353" s="2">
        <v>706979474867</v>
      </c>
      <c r="M353" s="2">
        <v>29943</v>
      </c>
      <c r="N353" s="2">
        <v>70.591343350000002</v>
      </c>
      <c r="O353" s="2">
        <v>3.7400000000000002E-6</v>
      </c>
      <c r="P353" s="2">
        <v>8387760</v>
      </c>
      <c r="Q353" s="2">
        <v>135</v>
      </c>
    </row>
    <row r="354" spans="1:17" x14ac:dyDescent="0.25">
      <c r="A354" s="1">
        <v>43256</v>
      </c>
      <c r="B354" s="2">
        <v>221477916.29499999</v>
      </c>
      <c r="C354" s="2">
        <v>163719854.382</v>
      </c>
      <c r="D354" s="2">
        <v>16233</v>
      </c>
      <c r="E354" s="2">
        <v>19057459746</v>
      </c>
      <c r="F354" s="2">
        <v>1110.07</v>
      </c>
      <c r="G354" s="2">
        <v>727427008</v>
      </c>
      <c r="H354" s="2">
        <v>11286154241.700001</v>
      </c>
      <c r="I354" s="2">
        <v>1912.5</v>
      </c>
      <c r="J354" s="2">
        <v>1.20707119</v>
      </c>
      <c r="K354" s="2">
        <v>41418</v>
      </c>
      <c r="L354" s="2">
        <v>640506925205</v>
      </c>
      <c r="M354" s="2">
        <v>27083</v>
      </c>
      <c r="N354" s="2">
        <v>68.841235265400002</v>
      </c>
      <c r="O354" s="2">
        <v>3.8199999999999998E-6</v>
      </c>
      <c r="P354" s="2">
        <v>7914355</v>
      </c>
      <c r="Q354" s="2">
        <v>153</v>
      </c>
    </row>
    <row r="355" spans="1:17" x14ac:dyDescent="0.25">
      <c r="A355" s="1">
        <v>43255</v>
      </c>
      <c r="B355" s="2">
        <v>388025977.43300003</v>
      </c>
      <c r="C355" s="2">
        <v>266126246.53</v>
      </c>
      <c r="D355" s="2">
        <v>15324</v>
      </c>
      <c r="E355" s="2">
        <v>20097492402</v>
      </c>
      <c r="F355" s="2">
        <v>1170.78</v>
      </c>
      <c r="G355" s="2">
        <v>910656000</v>
      </c>
      <c r="H355" s="2">
        <v>11281911178.299999</v>
      </c>
      <c r="I355" s="2">
        <v>1837.5</v>
      </c>
      <c r="J355" s="2">
        <v>1.76769446</v>
      </c>
      <c r="K355" s="2">
        <v>42785</v>
      </c>
      <c r="L355" s="2">
        <v>613650317028</v>
      </c>
      <c r="M355" s="2">
        <v>27817</v>
      </c>
      <c r="N355" s="2">
        <v>150.81166072400001</v>
      </c>
      <c r="O355" s="2">
        <v>3.8199999999999998E-6</v>
      </c>
      <c r="P355" s="2">
        <v>9040370</v>
      </c>
      <c r="Q355" s="2">
        <v>147</v>
      </c>
    </row>
    <row r="356" spans="1:17" x14ac:dyDescent="0.25">
      <c r="A356" s="1">
        <v>43254</v>
      </c>
      <c r="B356" s="2">
        <v>390701930.88800001</v>
      </c>
      <c r="C356" s="2">
        <v>238266942.789</v>
      </c>
      <c r="D356" s="2">
        <v>13935</v>
      </c>
      <c r="E356" s="2">
        <v>18590856859.099998</v>
      </c>
      <c r="F356" s="2">
        <v>1083.1300000000001</v>
      </c>
      <c r="G356" s="2">
        <v>842262016</v>
      </c>
      <c r="H356" s="2">
        <v>11290319941.5</v>
      </c>
      <c r="I356" s="2">
        <v>1850</v>
      </c>
      <c r="J356" s="2">
        <v>1.43634606</v>
      </c>
      <c r="K356" s="2">
        <v>40457</v>
      </c>
      <c r="L356" s="2">
        <v>612665030261</v>
      </c>
      <c r="M356" s="2">
        <v>27877</v>
      </c>
      <c r="N356" s="2">
        <v>119.898591732</v>
      </c>
      <c r="O356" s="2">
        <v>3.8199999999999998E-6</v>
      </c>
      <c r="P356" s="2">
        <v>7203988</v>
      </c>
      <c r="Q356" s="2">
        <v>148</v>
      </c>
    </row>
    <row r="357" spans="1:17" x14ac:dyDescent="0.25">
      <c r="A357" s="1">
        <v>43253</v>
      </c>
      <c r="B357" s="2">
        <v>223072117.12599999</v>
      </c>
      <c r="C357" s="2">
        <v>155807658.43700001</v>
      </c>
      <c r="D357" s="2">
        <v>14000</v>
      </c>
      <c r="E357" s="2">
        <v>17219362667.900002</v>
      </c>
      <c r="F357" s="2">
        <v>1003.33</v>
      </c>
      <c r="G357" s="2">
        <v>689121024</v>
      </c>
      <c r="H357" s="2">
        <v>11281862893.799999</v>
      </c>
      <c r="I357" s="2">
        <v>1912.5</v>
      </c>
      <c r="J357" s="2">
        <v>1.7261154599999999</v>
      </c>
      <c r="K357" s="2">
        <v>39422</v>
      </c>
      <c r="L357" s="2">
        <v>580063535162</v>
      </c>
      <c r="M357" s="2">
        <v>24716</v>
      </c>
      <c r="N357" s="2">
        <v>95.113225841499997</v>
      </c>
      <c r="O357" s="2">
        <v>3.76E-6</v>
      </c>
      <c r="P357" s="2">
        <v>7849711</v>
      </c>
      <c r="Q357" s="2">
        <v>153</v>
      </c>
    </row>
    <row r="358" spans="1:17" x14ac:dyDescent="0.25">
      <c r="A358" s="1">
        <v>43252</v>
      </c>
      <c r="B358" s="2">
        <v>325790657.34200001</v>
      </c>
      <c r="C358" s="2">
        <v>257579274.905</v>
      </c>
      <c r="D358" s="2">
        <v>14552</v>
      </c>
      <c r="E358" s="2">
        <v>17085824298</v>
      </c>
      <c r="F358" s="2">
        <v>995.66</v>
      </c>
      <c r="G358" s="2">
        <v>538528000</v>
      </c>
      <c r="H358" s="2">
        <v>11281474166.9</v>
      </c>
      <c r="I358" s="2">
        <v>1787.5</v>
      </c>
      <c r="J358" s="2">
        <v>1.1821347</v>
      </c>
      <c r="K358" s="2">
        <v>40214</v>
      </c>
      <c r="L358" s="2">
        <v>554940822073</v>
      </c>
      <c r="M358" s="2">
        <v>27569</v>
      </c>
      <c r="N358" s="2">
        <v>92.210063919999996</v>
      </c>
      <c r="O358" s="2">
        <v>3.7900000000000001E-6</v>
      </c>
      <c r="P358" s="2">
        <v>7463357</v>
      </c>
      <c r="Q358" s="2">
        <v>143</v>
      </c>
    </row>
    <row r="359" spans="1:17" x14ac:dyDescent="0.25">
      <c r="A359" s="1">
        <v>43251</v>
      </c>
      <c r="B359" s="2">
        <v>665926879.83200002</v>
      </c>
      <c r="C359" s="2">
        <v>451179707.65100002</v>
      </c>
      <c r="D359" s="2">
        <v>15869</v>
      </c>
      <c r="E359" s="2">
        <v>16876665962.299999</v>
      </c>
      <c r="F359" s="2">
        <v>983.57</v>
      </c>
      <c r="G359" s="2">
        <v>705260032</v>
      </c>
      <c r="H359" s="2">
        <v>11286283998.200001</v>
      </c>
      <c r="I359" s="2">
        <v>1750</v>
      </c>
      <c r="J359" s="2">
        <v>1.51560049</v>
      </c>
      <c r="K359" s="2">
        <v>57341</v>
      </c>
      <c r="L359" s="2">
        <v>558538663260</v>
      </c>
      <c r="M359" s="2">
        <v>26484</v>
      </c>
      <c r="N359" s="2">
        <v>114.342166518</v>
      </c>
      <c r="O359" s="2">
        <v>3.8E-6</v>
      </c>
      <c r="P359" s="2">
        <v>12227456</v>
      </c>
      <c r="Q359" s="2">
        <v>140</v>
      </c>
    </row>
    <row r="360" spans="1:17" x14ac:dyDescent="0.25">
      <c r="A360" s="1">
        <v>43250</v>
      </c>
      <c r="B360" s="2">
        <v>413600346.79299998</v>
      </c>
      <c r="C360" s="2">
        <v>326754125.505</v>
      </c>
      <c r="D360" s="2">
        <v>15741</v>
      </c>
      <c r="E360" s="2">
        <v>16986326846.200001</v>
      </c>
      <c r="F360" s="2">
        <v>990.07</v>
      </c>
      <c r="G360" s="2">
        <v>591774976</v>
      </c>
      <c r="H360" s="2">
        <v>11326637513.299999</v>
      </c>
      <c r="I360" s="2">
        <v>1750</v>
      </c>
      <c r="J360" s="2">
        <v>1.41835512</v>
      </c>
      <c r="K360" s="2">
        <v>46412</v>
      </c>
      <c r="L360" s="2">
        <v>563932549523</v>
      </c>
      <c r="M360" s="2">
        <v>27760</v>
      </c>
      <c r="N360" s="2">
        <v>141.17738813400001</v>
      </c>
      <c r="O360" s="2">
        <v>3.8199999999999998E-6</v>
      </c>
      <c r="P360" s="2">
        <v>7918110</v>
      </c>
      <c r="Q360" s="2">
        <v>140</v>
      </c>
    </row>
    <row r="361" spans="1:17" x14ac:dyDescent="0.25">
      <c r="A361" s="1">
        <v>43249</v>
      </c>
      <c r="B361" s="2">
        <v>321604673.41500002</v>
      </c>
      <c r="C361" s="2">
        <v>177266612.76699999</v>
      </c>
      <c r="D361" s="2">
        <v>15350</v>
      </c>
      <c r="E361" s="2">
        <v>15385508483.1</v>
      </c>
      <c r="F361" s="2">
        <v>896.85</v>
      </c>
      <c r="G361" s="2">
        <v>688334016</v>
      </c>
      <c r="H361" s="2">
        <v>11351534790</v>
      </c>
      <c r="I361" s="2">
        <v>1837.5</v>
      </c>
      <c r="J361" s="2">
        <v>1.7782076099999999</v>
      </c>
      <c r="K361" s="2">
        <v>42826</v>
      </c>
      <c r="L361" s="2">
        <v>538412313977</v>
      </c>
      <c r="M361" s="2">
        <v>26250</v>
      </c>
      <c r="N361" s="2">
        <v>133.15722979</v>
      </c>
      <c r="O361" s="2">
        <v>3.8199999999999998E-6</v>
      </c>
      <c r="P361" s="2">
        <v>8053089</v>
      </c>
      <c r="Q361" s="2">
        <v>147</v>
      </c>
    </row>
    <row r="362" spans="1:17" x14ac:dyDescent="0.25">
      <c r="A362" s="1">
        <v>43248</v>
      </c>
      <c r="B362" s="2">
        <v>439020308.71200001</v>
      </c>
      <c r="C362" s="2">
        <v>254392284.80399999</v>
      </c>
      <c r="D362" s="2">
        <v>14257</v>
      </c>
      <c r="E362" s="2">
        <v>17095673538.1</v>
      </c>
      <c r="F362" s="2">
        <v>996.65</v>
      </c>
      <c r="G362" s="2">
        <v>566168000</v>
      </c>
      <c r="H362" s="2">
        <v>11354049090.700001</v>
      </c>
      <c r="I362" s="2">
        <v>1850</v>
      </c>
      <c r="J362" s="2">
        <v>1.4468818400000001</v>
      </c>
      <c r="K362" s="2">
        <v>39501</v>
      </c>
      <c r="L362" s="2">
        <v>539940047650</v>
      </c>
      <c r="M362" s="2">
        <v>24744</v>
      </c>
      <c r="N362" s="2">
        <v>153.00611662599999</v>
      </c>
      <c r="O362" s="2">
        <v>3.8199999999999998E-6</v>
      </c>
      <c r="P362" s="2">
        <v>6578725</v>
      </c>
      <c r="Q362" s="2">
        <v>148</v>
      </c>
    </row>
    <row r="363" spans="1:17" x14ac:dyDescent="0.25">
      <c r="A363" s="1">
        <v>43247</v>
      </c>
      <c r="B363" s="2">
        <v>266936638.204</v>
      </c>
      <c r="C363" s="2">
        <v>152949655.80700001</v>
      </c>
      <c r="D363" s="2">
        <v>11560</v>
      </c>
      <c r="E363" s="2">
        <v>17309174025.599998</v>
      </c>
      <c r="F363" s="2">
        <v>1009.2</v>
      </c>
      <c r="G363" s="2">
        <v>507305984</v>
      </c>
      <c r="H363" s="2">
        <v>11376766499.6</v>
      </c>
      <c r="I363" s="2">
        <v>1762.5</v>
      </c>
      <c r="J363" s="2">
        <v>1.2719237699999999</v>
      </c>
      <c r="K363" s="2">
        <v>33034</v>
      </c>
      <c r="L363" s="2">
        <v>569269729673</v>
      </c>
      <c r="M363" s="2">
        <v>22366</v>
      </c>
      <c r="N363" s="2">
        <v>100.52878362</v>
      </c>
      <c r="O363" s="2">
        <v>3.8199999999999998E-6</v>
      </c>
      <c r="P363" s="2">
        <v>5870024</v>
      </c>
      <c r="Q363" s="2">
        <v>141</v>
      </c>
    </row>
    <row r="364" spans="1:17" x14ac:dyDescent="0.25">
      <c r="A364" s="1">
        <v>43246</v>
      </c>
      <c r="B364" s="2">
        <v>182560455.80899999</v>
      </c>
      <c r="C364" s="2">
        <v>127094998.227</v>
      </c>
      <c r="D364" s="2">
        <v>11872</v>
      </c>
      <c r="E364" s="2">
        <v>17418467640</v>
      </c>
      <c r="F364" s="2">
        <v>1015.68</v>
      </c>
      <c r="G364" s="2">
        <v>486185984</v>
      </c>
      <c r="H364" s="2">
        <v>11382677256.9</v>
      </c>
      <c r="I364" s="2">
        <v>1837.5</v>
      </c>
      <c r="J364" s="2">
        <v>1.24986646</v>
      </c>
      <c r="K364" s="2">
        <v>34680</v>
      </c>
      <c r="L364" s="2">
        <v>576005208212</v>
      </c>
      <c r="M364" s="2">
        <v>22335</v>
      </c>
      <c r="N364" s="2">
        <v>101.566852282</v>
      </c>
      <c r="O364" s="2">
        <v>3.8199999999999998E-6</v>
      </c>
      <c r="P364" s="2">
        <v>5918408</v>
      </c>
      <c r="Q364" s="2">
        <v>147</v>
      </c>
    </row>
    <row r="365" spans="1:17" x14ac:dyDescent="0.25">
      <c r="A365" s="1">
        <v>43245</v>
      </c>
      <c r="B365" s="2">
        <v>271174410.44999999</v>
      </c>
      <c r="C365" s="2">
        <v>203780430.07699999</v>
      </c>
      <c r="D365" s="2">
        <v>15209</v>
      </c>
      <c r="E365" s="2">
        <v>18395050517</v>
      </c>
      <c r="F365" s="2">
        <v>1072.74</v>
      </c>
      <c r="G365" s="2">
        <v>620339968</v>
      </c>
      <c r="H365" s="2">
        <v>11380208841.6</v>
      </c>
      <c r="I365" s="2">
        <v>1775</v>
      </c>
      <c r="J365" s="2">
        <v>1.4175132100000001</v>
      </c>
      <c r="K365" s="2">
        <v>41961</v>
      </c>
      <c r="L365" s="2">
        <v>570580007678</v>
      </c>
      <c r="M365" s="2">
        <v>27624</v>
      </c>
      <c r="N365" s="2">
        <v>105.010304052</v>
      </c>
      <c r="O365" s="2">
        <v>3.8199999999999998E-6</v>
      </c>
      <c r="P365" s="2">
        <v>7252442</v>
      </c>
      <c r="Q365" s="2">
        <v>142</v>
      </c>
    </row>
    <row r="366" spans="1:17" x14ac:dyDescent="0.25">
      <c r="A366" s="1">
        <v>43244</v>
      </c>
      <c r="B366" s="2">
        <v>311615174.25300002</v>
      </c>
      <c r="C366" s="2">
        <v>194372208.34999999</v>
      </c>
      <c r="D366" s="2">
        <v>15130</v>
      </c>
      <c r="E366" s="2">
        <v>17231838646.900002</v>
      </c>
      <c r="F366" s="2">
        <v>1005.01</v>
      </c>
      <c r="G366" s="2">
        <v>785384000</v>
      </c>
      <c r="H366" s="2">
        <v>11388485370.5</v>
      </c>
      <c r="I366" s="2">
        <v>1862.5</v>
      </c>
      <c r="J366" s="2">
        <v>1.5468153600000001</v>
      </c>
      <c r="K366" s="2">
        <v>41345</v>
      </c>
      <c r="L366" s="2">
        <v>548879713898</v>
      </c>
      <c r="M366" s="2">
        <v>25923</v>
      </c>
      <c r="N366" s="2">
        <v>195.21732324199999</v>
      </c>
      <c r="O366" s="2">
        <v>3.89E-6</v>
      </c>
      <c r="P366" s="2">
        <v>7142388</v>
      </c>
      <c r="Q366" s="2">
        <v>149</v>
      </c>
    </row>
    <row r="367" spans="1:17" x14ac:dyDescent="0.25">
      <c r="A367" s="1">
        <v>43243</v>
      </c>
      <c r="B367" s="2">
        <v>820581282.44000006</v>
      </c>
      <c r="C367" s="2">
        <v>419110687.44499999</v>
      </c>
      <c r="D367" s="2">
        <v>16111</v>
      </c>
      <c r="E367" s="2">
        <v>19582833947</v>
      </c>
      <c r="F367" s="2">
        <v>1142.25</v>
      </c>
      <c r="G367" s="2">
        <v>858105984</v>
      </c>
      <c r="H367" s="2">
        <v>11403522647</v>
      </c>
      <c r="I367" s="2">
        <v>1812.5</v>
      </c>
      <c r="J367" s="2">
        <v>1.6152503300000001</v>
      </c>
      <c r="K367" s="2">
        <v>44611</v>
      </c>
      <c r="L367" s="2">
        <v>548958506177</v>
      </c>
      <c r="M367" s="2">
        <v>28154</v>
      </c>
      <c r="N367" s="2">
        <v>269.71210214199999</v>
      </c>
      <c r="O367" s="2">
        <v>3.8199999999999998E-6</v>
      </c>
      <c r="P367" s="2">
        <v>7517170</v>
      </c>
      <c r="Q367" s="2">
        <v>145</v>
      </c>
    </row>
    <row r="368" spans="1:17" x14ac:dyDescent="0.25">
      <c r="A368" s="1">
        <v>43242</v>
      </c>
      <c r="B368" s="2">
        <v>341772277.477</v>
      </c>
      <c r="C368" s="2">
        <v>278900766.85500002</v>
      </c>
      <c r="D368" s="2">
        <v>15170</v>
      </c>
      <c r="E368" s="2">
        <v>21148393825</v>
      </c>
      <c r="F368" s="2">
        <v>1233.7</v>
      </c>
      <c r="G368" s="2">
        <v>634201984</v>
      </c>
      <c r="H368" s="2">
        <v>11469461049.5</v>
      </c>
      <c r="I368" s="2">
        <v>1575</v>
      </c>
      <c r="J368" s="2">
        <v>1.4792408500000001</v>
      </c>
      <c r="K368" s="2">
        <v>45453</v>
      </c>
      <c r="L368" s="2">
        <v>615936790952</v>
      </c>
      <c r="M368" s="2">
        <v>27927</v>
      </c>
      <c r="N368" s="2">
        <v>123.33854065</v>
      </c>
      <c r="O368" s="2">
        <v>3.8199999999999998E-6</v>
      </c>
      <c r="P368" s="2">
        <v>8455672</v>
      </c>
      <c r="Q368" s="2">
        <v>126</v>
      </c>
    </row>
    <row r="369" spans="1:17" x14ac:dyDescent="0.25">
      <c r="A369" s="1">
        <v>43241</v>
      </c>
      <c r="B369" s="2">
        <v>343678483.60600001</v>
      </c>
      <c r="C369" s="2">
        <v>255953687.30599999</v>
      </c>
      <c r="D369" s="2">
        <v>15508</v>
      </c>
      <c r="E369" s="2">
        <v>22214861421</v>
      </c>
      <c r="F369" s="2">
        <v>1296.03</v>
      </c>
      <c r="G369" s="2">
        <v>622772992</v>
      </c>
      <c r="H369" s="2">
        <v>11489912988.5</v>
      </c>
      <c r="I369" s="2">
        <v>1900</v>
      </c>
      <c r="J369" s="2">
        <v>1.54866331</v>
      </c>
      <c r="K369" s="2">
        <v>44274</v>
      </c>
      <c r="L369" s="2">
        <v>582751034932</v>
      </c>
      <c r="M369" s="2">
        <v>27375</v>
      </c>
      <c r="N369" s="2">
        <v>102.17124198</v>
      </c>
      <c r="O369" s="2">
        <v>3.8199999999999998E-6</v>
      </c>
      <c r="P369" s="2">
        <v>8702450</v>
      </c>
      <c r="Q369" s="2">
        <v>152</v>
      </c>
    </row>
    <row r="370" spans="1:17" x14ac:dyDescent="0.25">
      <c r="A370" s="1">
        <v>43240</v>
      </c>
      <c r="B370" s="2">
        <v>350963802.04799998</v>
      </c>
      <c r="C370" s="2">
        <v>238124268.87799999</v>
      </c>
      <c r="D370" s="2">
        <v>14395</v>
      </c>
      <c r="E370" s="2">
        <v>20278583790.299999</v>
      </c>
      <c r="F370" s="2">
        <v>1183.2</v>
      </c>
      <c r="G370" s="2">
        <v>805598976</v>
      </c>
      <c r="H370" s="2">
        <v>11490706789.4</v>
      </c>
      <c r="I370" s="2">
        <v>1850</v>
      </c>
      <c r="J370" s="2">
        <v>1.40056365</v>
      </c>
      <c r="K370" s="2">
        <v>38374</v>
      </c>
      <c r="L370" s="2">
        <v>596180788756</v>
      </c>
      <c r="M370" s="2">
        <v>26426</v>
      </c>
      <c r="N370" s="2">
        <v>75.296422440000001</v>
      </c>
      <c r="O370" s="2">
        <v>3.9999999999999998E-6</v>
      </c>
      <c r="P370" s="2">
        <v>7149708</v>
      </c>
      <c r="Q370" s="2">
        <v>148</v>
      </c>
    </row>
    <row r="371" spans="1:17" x14ac:dyDescent="0.25">
      <c r="A371" s="1">
        <v>43239</v>
      </c>
      <c r="B371" s="2">
        <v>273058793.03899997</v>
      </c>
      <c r="C371" s="2">
        <v>181084651.89700001</v>
      </c>
      <c r="D371" s="2">
        <v>12495</v>
      </c>
      <c r="E371" s="2">
        <v>20677615239.5</v>
      </c>
      <c r="F371" s="2">
        <v>1206.6099999999999</v>
      </c>
      <c r="G371" s="2">
        <v>595862016</v>
      </c>
      <c r="H371" s="2">
        <v>11482368090</v>
      </c>
      <c r="I371" s="2">
        <v>1812.5</v>
      </c>
      <c r="J371" s="2">
        <v>1.18918032</v>
      </c>
      <c r="K371" s="2">
        <v>36862</v>
      </c>
      <c r="L371" s="2">
        <v>576527238304</v>
      </c>
      <c r="M371" s="2">
        <v>23307</v>
      </c>
      <c r="N371" s="2">
        <v>109.575270625</v>
      </c>
      <c r="O371" s="2">
        <v>3.8199999999999998E-6</v>
      </c>
      <c r="P371" s="2">
        <v>6122112</v>
      </c>
      <c r="Q371" s="2">
        <v>145</v>
      </c>
    </row>
    <row r="372" spans="1:17" x14ac:dyDescent="0.25">
      <c r="A372" s="1">
        <v>43238</v>
      </c>
      <c r="B372" s="2">
        <v>525364660.35500002</v>
      </c>
      <c r="C372" s="2">
        <v>312276562.005</v>
      </c>
      <c r="D372" s="2">
        <v>15221</v>
      </c>
      <c r="E372" s="2">
        <v>20599862303</v>
      </c>
      <c r="F372" s="2">
        <v>1202.2</v>
      </c>
      <c r="G372" s="2">
        <v>876974976</v>
      </c>
      <c r="H372" s="2">
        <v>11493891902.6</v>
      </c>
      <c r="I372" s="2">
        <v>1862.5</v>
      </c>
      <c r="J372" s="2">
        <v>1.6261896</v>
      </c>
      <c r="K372" s="2">
        <v>43708</v>
      </c>
      <c r="L372" s="2">
        <v>567594368995</v>
      </c>
      <c r="M372" s="2">
        <v>27089</v>
      </c>
      <c r="N372" s="2">
        <v>158.706593634</v>
      </c>
      <c r="O372" s="2">
        <v>3.89E-6</v>
      </c>
      <c r="P372" s="2">
        <v>7280283</v>
      </c>
      <c r="Q372" s="2">
        <v>149</v>
      </c>
    </row>
    <row r="373" spans="1:17" x14ac:dyDescent="0.25">
      <c r="A373" s="1">
        <v>43237</v>
      </c>
      <c r="B373" s="2">
        <v>349949312.56400001</v>
      </c>
      <c r="C373" s="2">
        <v>260006274.604</v>
      </c>
      <c r="D373" s="2">
        <v>16498</v>
      </c>
      <c r="E373" s="2">
        <v>22105694070.799999</v>
      </c>
      <c r="F373" s="2">
        <v>1290.22</v>
      </c>
      <c r="G373" s="2">
        <v>804139008</v>
      </c>
      <c r="H373" s="2">
        <v>11504834845.799999</v>
      </c>
      <c r="I373" s="2">
        <v>1612.5</v>
      </c>
      <c r="J373" s="2">
        <v>1.3985023299999999</v>
      </c>
      <c r="K373" s="2">
        <v>43275</v>
      </c>
      <c r="L373" s="2">
        <v>622074245401</v>
      </c>
      <c r="M373" s="2">
        <v>27102</v>
      </c>
      <c r="N373" s="2">
        <v>116.22301760000001</v>
      </c>
      <c r="O373" s="2">
        <v>3.8199999999999998E-6</v>
      </c>
      <c r="P373" s="2">
        <v>7617402</v>
      </c>
      <c r="Q373" s="2">
        <v>129</v>
      </c>
    </row>
    <row r="374" spans="1:17" x14ac:dyDescent="0.25">
      <c r="A374" s="1">
        <v>43236</v>
      </c>
      <c r="B374" s="2">
        <v>407451020.09200001</v>
      </c>
      <c r="C374" s="2">
        <v>279172307.36299998</v>
      </c>
      <c r="D374" s="2">
        <v>20461</v>
      </c>
      <c r="E374" s="2">
        <v>22988806592.400002</v>
      </c>
      <c r="F374" s="2">
        <v>1341.89</v>
      </c>
      <c r="G374" s="2">
        <v>913177984</v>
      </c>
      <c r="H374" s="2">
        <v>11531065542</v>
      </c>
      <c r="I374" s="2">
        <v>1850</v>
      </c>
      <c r="J374" s="2">
        <v>1.97333124</v>
      </c>
      <c r="K374" s="2">
        <v>49800</v>
      </c>
      <c r="L374" s="2">
        <v>619624054099</v>
      </c>
      <c r="M374" s="2">
        <v>30409</v>
      </c>
      <c r="N374" s="2">
        <v>71.227521199999998</v>
      </c>
      <c r="O374" s="2">
        <v>3.7400000000000002E-6</v>
      </c>
      <c r="P374" s="2">
        <v>9469656</v>
      </c>
      <c r="Q374" s="2">
        <v>148</v>
      </c>
    </row>
    <row r="375" spans="1:17" x14ac:dyDescent="0.25">
      <c r="A375" s="1">
        <v>43235</v>
      </c>
      <c r="B375" s="2">
        <v>812406125.03100002</v>
      </c>
      <c r="C375" s="2">
        <v>571926395.75100005</v>
      </c>
      <c r="D375" s="2">
        <v>20332</v>
      </c>
      <c r="E375" s="2">
        <v>24500428222.200001</v>
      </c>
      <c r="F375" s="2">
        <v>1430.28</v>
      </c>
      <c r="G375" s="2">
        <v>939358016</v>
      </c>
      <c r="H375" s="2">
        <v>11549930916.9</v>
      </c>
      <c r="I375" s="2">
        <v>1750</v>
      </c>
      <c r="J375" s="2">
        <v>2.0765920000000002</v>
      </c>
      <c r="K375" s="2">
        <v>50195</v>
      </c>
      <c r="L375" s="2">
        <v>636606127001</v>
      </c>
      <c r="M375" s="2">
        <v>41883</v>
      </c>
      <c r="N375" s="2">
        <v>103.333467766</v>
      </c>
      <c r="O375" s="2">
        <v>3.8199999999999998E-6</v>
      </c>
      <c r="P375" s="2">
        <v>9871870</v>
      </c>
      <c r="Q375" s="2">
        <v>140</v>
      </c>
    </row>
    <row r="376" spans="1:17" x14ac:dyDescent="0.25">
      <c r="A376" s="1">
        <v>43234</v>
      </c>
      <c r="B376" s="2">
        <v>739157470.16299999</v>
      </c>
      <c r="C376" s="2">
        <v>374114594.17900002</v>
      </c>
      <c r="D376" s="2">
        <v>19064</v>
      </c>
      <c r="E376" s="2">
        <v>25509337323.5</v>
      </c>
      <c r="F376" s="2">
        <v>1489.33</v>
      </c>
      <c r="G376" s="2">
        <v>1158710016</v>
      </c>
      <c r="H376" s="2">
        <v>11392866194.9</v>
      </c>
      <c r="I376" s="2">
        <v>1812.5</v>
      </c>
      <c r="J376" s="2">
        <v>2.32913806</v>
      </c>
      <c r="K376" s="2">
        <v>49653</v>
      </c>
      <c r="L376" s="2">
        <v>652285871717</v>
      </c>
      <c r="M376" s="2">
        <v>33098</v>
      </c>
      <c r="N376" s="2">
        <v>253.18106606500001</v>
      </c>
      <c r="O376" s="2">
        <v>3.8199999999999998E-6</v>
      </c>
      <c r="P376" s="2">
        <v>12165777</v>
      </c>
      <c r="Q376" s="2">
        <v>145</v>
      </c>
    </row>
    <row r="377" spans="1:17" x14ac:dyDescent="0.25">
      <c r="A377" s="1">
        <v>43233</v>
      </c>
      <c r="B377" s="2">
        <v>339914889.23100001</v>
      </c>
      <c r="C377" s="2">
        <v>199399438.14700001</v>
      </c>
      <c r="D377" s="2">
        <v>15385</v>
      </c>
      <c r="E377" s="2">
        <v>25257108450</v>
      </c>
      <c r="F377" s="2">
        <v>1474.76</v>
      </c>
      <c r="G377" s="2">
        <v>921628032</v>
      </c>
      <c r="H377" s="2">
        <v>11392542725.6</v>
      </c>
      <c r="I377" s="2">
        <v>1775</v>
      </c>
      <c r="J377" s="2">
        <v>1.91394087</v>
      </c>
      <c r="K377" s="2">
        <v>41821</v>
      </c>
      <c r="L377" s="2">
        <v>674252581443</v>
      </c>
      <c r="M377" s="2">
        <v>25368</v>
      </c>
      <c r="N377" s="2">
        <v>105.992210503</v>
      </c>
      <c r="O377" s="2">
        <v>3.7400000000000002E-6</v>
      </c>
      <c r="P377" s="2">
        <v>7347575</v>
      </c>
      <c r="Q377" s="2">
        <v>142</v>
      </c>
    </row>
    <row r="378" spans="1:17" x14ac:dyDescent="0.25">
      <c r="A378" s="1">
        <v>43232</v>
      </c>
      <c r="B378" s="2">
        <v>283420934.12400001</v>
      </c>
      <c r="C378" s="2">
        <v>223674842.99000001</v>
      </c>
      <c r="D378" s="2">
        <v>16556</v>
      </c>
      <c r="E378" s="2">
        <v>23564116623.099998</v>
      </c>
      <c r="F378" s="2">
        <v>1376.05</v>
      </c>
      <c r="G378" s="2">
        <v>1461449984</v>
      </c>
      <c r="H378" s="2">
        <v>11385557326.4</v>
      </c>
      <c r="I378" s="2">
        <v>1800</v>
      </c>
      <c r="J378" s="2">
        <v>2.11074231</v>
      </c>
      <c r="K378" s="2">
        <v>43741</v>
      </c>
      <c r="L378" s="2">
        <v>652920516868</v>
      </c>
      <c r="M378" s="2">
        <v>26929</v>
      </c>
      <c r="N378" s="2">
        <v>177.432386683</v>
      </c>
      <c r="O378" s="2">
        <v>3.8199999999999998E-6</v>
      </c>
      <c r="P378" s="2">
        <v>7722822</v>
      </c>
      <c r="Q378" s="2">
        <v>144</v>
      </c>
    </row>
    <row r="379" spans="1:17" x14ac:dyDescent="0.25">
      <c r="A379" s="1">
        <v>43231</v>
      </c>
      <c r="B379" s="2">
        <v>658848940.46800005</v>
      </c>
      <c r="C379" s="2">
        <v>404326624.00400001</v>
      </c>
      <c r="D379" s="2">
        <v>19102</v>
      </c>
      <c r="E379" s="2">
        <v>26154695742.400002</v>
      </c>
      <c r="F379" s="2">
        <v>1527.49</v>
      </c>
      <c r="G379" s="2">
        <v>1513260032</v>
      </c>
      <c r="H379" s="2">
        <v>11378087794.5</v>
      </c>
      <c r="I379" s="2">
        <v>1812.5</v>
      </c>
      <c r="J379" s="2">
        <v>2.4119021599999999</v>
      </c>
      <c r="K379" s="2">
        <v>50153</v>
      </c>
      <c r="L379" s="2">
        <v>650090785372</v>
      </c>
      <c r="M379" s="2">
        <v>31753</v>
      </c>
      <c r="N379" s="2">
        <v>198.5737</v>
      </c>
      <c r="O379" s="2">
        <v>3.8199999999999998E-6</v>
      </c>
      <c r="P379" s="2">
        <v>9388691</v>
      </c>
      <c r="Q379" s="2">
        <v>145</v>
      </c>
    </row>
    <row r="380" spans="1:17" x14ac:dyDescent="0.25">
      <c r="A380" s="1">
        <v>43230</v>
      </c>
      <c r="B380" s="2">
        <v>618896639.227</v>
      </c>
      <c r="C380" s="2">
        <v>394229177.84299999</v>
      </c>
      <c r="D380" s="2">
        <v>20798</v>
      </c>
      <c r="E380" s="2">
        <v>28183487228</v>
      </c>
      <c r="F380" s="2">
        <v>1646.15</v>
      </c>
      <c r="G380" s="2">
        <v>1070040000</v>
      </c>
      <c r="H380" s="2">
        <v>11405585577.299999</v>
      </c>
      <c r="I380" s="2">
        <v>1750</v>
      </c>
      <c r="J380" s="2">
        <v>1.6047052799999999</v>
      </c>
      <c r="K380" s="2">
        <v>51134</v>
      </c>
      <c r="L380" s="2">
        <v>671586103871</v>
      </c>
      <c r="M380" s="2">
        <v>30910</v>
      </c>
      <c r="N380" s="2">
        <v>181.62037149899999</v>
      </c>
      <c r="O380" s="2">
        <v>3.8199999999999998E-6</v>
      </c>
      <c r="P380" s="2">
        <v>10219227</v>
      </c>
      <c r="Q380" s="2">
        <v>140</v>
      </c>
    </row>
    <row r="381" spans="1:17" x14ac:dyDescent="0.25">
      <c r="A381" s="1">
        <v>43229</v>
      </c>
      <c r="B381" s="2">
        <v>504643110.71799999</v>
      </c>
      <c r="C381" s="2">
        <v>317710782.53799999</v>
      </c>
      <c r="D381" s="2">
        <v>18394</v>
      </c>
      <c r="E381" s="2">
        <v>27525307415.099998</v>
      </c>
      <c r="F381" s="2">
        <v>1607.87</v>
      </c>
      <c r="G381" s="2">
        <v>1273219968</v>
      </c>
      <c r="H381" s="2">
        <v>11320641259.1</v>
      </c>
      <c r="I381" s="2">
        <v>1837.5</v>
      </c>
      <c r="J381" s="2">
        <v>1.0489543699999999</v>
      </c>
      <c r="K381" s="2">
        <v>49164</v>
      </c>
      <c r="L381" s="2">
        <v>665518974917</v>
      </c>
      <c r="M381" s="2">
        <v>29857</v>
      </c>
      <c r="N381" s="2">
        <v>210.957689184</v>
      </c>
      <c r="O381" s="2">
        <v>3.76E-6</v>
      </c>
      <c r="P381" s="2">
        <v>9034149</v>
      </c>
      <c r="Q381" s="2">
        <v>147</v>
      </c>
    </row>
    <row r="382" spans="1:17" x14ac:dyDescent="0.25">
      <c r="A382" s="1">
        <v>43228</v>
      </c>
      <c r="B382" s="2">
        <v>859074604.86399996</v>
      </c>
      <c r="C382" s="2">
        <v>443319472.10500002</v>
      </c>
      <c r="D382" s="2">
        <v>19668</v>
      </c>
      <c r="E382" s="2">
        <v>28638399284.799999</v>
      </c>
      <c r="F382" s="2">
        <v>1673.07</v>
      </c>
      <c r="G382" s="2">
        <v>1060739968</v>
      </c>
      <c r="H382" s="2">
        <v>11316219202.6</v>
      </c>
      <c r="I382" s="2">
        <v>1725</v>
      </c>
      <c r="J382" s="2">
        <v>0.98576483000000004</v>
      </c>
      <c r="K382" s="2">
        <v>52581</v>
      </c>
      <c r="L382" s="2">
        <v>665855481974</v>
      </c>
      <c r="M382" s="2">
        <v>31699</v>
      </c>
      <c r="N382" s="2">
        <v>160.649754086</v>
      </c>
      <c r="O382" s="2">
        <v>3.7400000000000002E-6</v>
      </c>
      <c r="P382" s="2">
        <v>10003460</v>
      </c>
      <c r="Q382" s="2">
        <v>138</v>
      </c>
    </row>
    <row r="383" spans="1:17" x14ac:dyDescent="0.25">
      <c r="A383" s="1">
        <v>43227</v>
      </c>
      <c r="B383" s="2">
        <v>835229736.74300003</v>
      </c>
      <c r="C383" s="2">
        <v>544754022.61699998</v>
      </c>
      <c r="D383" s="2">
        <v>19494</v>
      </c>
      <c r="E383" s="2">
        <v>30237357563</v>
      </c>
      <c r="F383" s="2">
        <v>1766.66</v>
      </c>
      <c r="G383" s="2">
        <v>1407629952</v>
      </c>
      <c r="H383" s="2">
        <v>11287655030</v>
      </c>
      <c r="I383" s="2">
        <v>1837.5</v>
      </c>
      <c r="J383" s="2">
        <v>1.2087617500000001</v>
      </c>
      <c r="K383" s="2">
        <v>60124</v>
      </c>
      <c r="L383" s="2">
        <v>674274464004</v>
      </c>
      <c r="M383" s="2">
        <v>32331</v>
      </c>
      <c r="N383" s="2">
        <v>247.02341116599999</v>
      </c>
      <c r="O383" s="2">
        <v>3.8199999999999998E-6</v>
      </c>
      <c r="P383" s="2">
        <v>12252445</v>
      </c>
      <c r="Q383" s="2">
        <v>147</v>
      </c>
    </row>
    <row r="384" spans="1:17" x14ac:dyDescent="0.25">
      <c r="A384" s="1">
        <v>43226</v>
      </c>
      <c r="B384" s="2">
        <v>627333921.00899994</v>
      </c>
      <c r="C384" s="2">
        <v>349704877.01899999</v>
      </c>
      <c r="D384" s="2">
        <v>20260</v>
      </c>
      <c r="E384" s="2">
        <v>30100088971</v>
      </c>
      <c r="F384" s="2">
        <v>1758.83</v>
      </c>
      <c r="G384" s="2">
        <v>1946960000</v>
      </c>
      <c r="H384" s="2">
        <v>11234298742.700001</v>
      </c>
      <c r="I384" s="2">
        <v>1725</v>
      </c>
      <c r="J384" s="2">
        <v>1.08991072</v>
      </c>
      <c r="K384" s="2">
        <v>51422</v>
      </c>
      <c r="L384" s="2">
        <v>694995299833</v>
      </c>
      <c r="M384" s="2">
        <v>29683</v>
      </c>
      <c r="N384" s="2">
        <v>255.405965735</v>
      </c>
      <c r="O384" s="2">
        <v>3.7400000000000002E-6</v>
      </c>
      <c r="P384" s="2">
        <v>13704550</v>
      </c>
      <c r="Q384" s="2">
        <v>138</v>
      </c>
    </row>
    <row r="385" spans="1:17" x14ac:dyDescent="0.25">
      <c r="A385" s="1">
        <v>43225</v>
      </c>
      <c r="B385" s="2">
        <v>517513072.44099998</v>
      </c>
      <c r="C385" s="2">
        <v>323954298.61500001</v>
      </c>
      <c r="D385" s="2">
        <v>23115</v>
      </c>
      <c r="E385" s="2">
        <v>25954416961.900002</v>
      </c>
      <c r="F385" s="2">
        <v>1516.74</v>
      </c>
      <c r="G385" s="2">
        <v>1664400000</v>
      </c>
      <c r="H385" s="2">
        <v>11190332318</v>
      </c>
      <c r="I385" s="2">
        <v>1937.5</v>
      </c>
      <c r="J385" s="2">
        <v>1.07417652</v>
      </c>
      <c r="K385" s="2">
        <v>55654</v>
      </c>
      <c r="L385" s="2">
        <v>646120511765</v>
      </c>
      <c r="M385" s="2">
        <v>32852</v>
      </c>
      <c r="N385" s="2">
        <v>198.69293999999999</v>
      </c>
      <c r="O385" s="2">
        <v>3.7400000000000002E-6</v>
      </c>
      <c r="P385" s="2">
        <v>10959194</v>
      </c>
      <c r="Q385" s="2">
        <v>155</v>
      </c>
    </row>
    <row r="386" spans="1:17" x14ac:dyDescent="0.25">
      <c r="A386" s="1">
        <v>43224</v>
      </c>
      <c r="B386" s="2">
        <v>536844385.22299999</v>
      </c>
      <c r="C386" s="2">
        <v>381742172.26099998</v>
      </c>
      <c r="D386" s="2">
        <v>22938</v>
      </c>
      <c r="E386" s="2">
        <v>25689029070.5</v>
      </c>
      <c r="F386" s="2">
        <v>1501.4</v>
      </c>
      <c r="G386" s="2">
        <v>960185024</v>
      </c>
      <c r="H386" s="2">
        <v>11144703895.9</v>
      </c>
      <c r="I386" s="2">
        <v>1812.5</v>
      </c>
      <c r="J386" s="2">
        <v>0.87024672000000003</v>
      </c>
      <c r="K386" s="2">
        <v>53966</v>
      </c>
      <c r="L386" s="2">
        <v>598291889483</v>
      </c>
      <c r="M386" s="2">
        <v>33562</v>
      </c>
      <c r="N386" s="2">
        <v>63.329487405999998</v>
      </c>
      <c r="O386" s="2">
        <v>3.7400000000000002E-6</v>
      </c>
      <c r="P386" s="2">
        <v>10466261</v>
      </c>
      <c r="Q386" s="2">
        <v>145</v>
      </c>
    </row>
    <row r="387" spans="1:17" x14ac:dyDescent="0.25">
      <c r="A387" s="1">
        <v>43223</v>
      </c>
      <c r="B387" s="2">
        <v>923652852.903</v>
      </c>
      <c r="C387" s="2">
        <v>745399390.09200001</v>
      </c>
      <c r="D387" s="2">
        <v>25575</v>
      </c>
      <c r="E387" s="2">
        <v>24970309798.5</v>
      </c>
      <c r="F387" s="2">
        <v>1459.55</v>
      </c>
      <c r="G387" s="2">
        <v>1282659968</v>
      </c>
      <c r="H387" s="2">
        <v>11117091390.700001</v>
      </c>
      <c r="I387" s="2">
        <v>1662.5</v>
      </c>
      <c r="J387" s="2">
        <v>1.1526223600000001</v>
      </c>
      <c r="K387" s="2">
        <v>57230</v>
      </c>
      <c r="L387" s="2">
        <v>623880937931</v>
      </c>
      <c r="M387" s="2">
        <v>33252</v>
      </c>
      <c r="N387" s="2">
        <v>109.766099952</v>
      </c>
      <c r="O387" s="2">
        <v>2.8200000000000001E-6</v>
      </c>
      <c r="P387" s="2">
        <v>11981225</v>
      </c>
      <c r="Q387" s="2">
        <v>133</v>
      </c>
    </row>
    <row r="388" spans="1:17" x14ac:dyDescent="0.25">
      <c r="A388" s="1">
        <v>43222</v>
      </c>
      <c r="B388" s="2">
        <v>508577079.574</v>
      </c>
      <c r="C388" s="2">
        <v>332609639.023</v>
      </c>
      <c r="D388" s="2">
        <v>22533</v>
      </c>
      <c r="E388" s="2">
        <v>23154433525.5</v>
      </c>
      <c r="F388" s="2">
        <v>1353.54</v>
      </c>
      <c r="G388" s="2">
        <v>1165139968</v>
      </c>
      <c r="H388" s="2">
        <v>10892512728.799999</v>
      </c>
      <c r="I388" s="2">
        <v>1825</v>
      </c>
      <c r="J388" s="2">
        <v>1.02843011</v>
      </c>
      <c r="K388" s="2">
        <v>55111</v>
      </c>
      <c r="L388" s="2">
        <v>599363585876</v>
      </c>
      <c r="M388" s="2">
        <v>32738</v>
      </c>
      <c r="N388" s="2">
        <v>157.93528377999999</v>
      </c>
      <c r="O388" s="2">
        <v>3.1499999999999999E-6</v>
      </c>
      <c r="P388" s="2">
        <v>11226093</v>
      </c>
      <c r="Q388" s="2">
        <v>146</v>
      </c>
    </row>
    <row r="389" spans="1:17" x14ac:dyDescent="0.25">
      <c r="A389" s="1">
        <v>43221</v>
      </c>
      <c r="B389" s="2">
        <v>484545821.88999999</v>
      </c>
      <c r="C389" s="2">
        <v>343587050.52399999</v>
      </c>
      <c r="D389" s="2">
        <v>18868</v>
      </c>
      <c r="E389" s="2">
        <v>23068116324</v>
      </c>
      <c r="F389" s="2">
        <v>1348.64</v>
      </c>
      <c r="G389" s="2">
        <v>774633024</v>
      </c>
      <c r="H389" s="2">
        <v>10869106391</v>
      </c>
      <c r="I389" s="2">
        <v>1812.5</v>
      </c>
      <c r="J389" s="2">
        <v>0.92413305999999995</v>
      </c>
      <c r="K389" s="2">
        <v>46139</v>
      </c>
      <c r="L389" s="2">
        <v>564787152774</v>
      </c>
      <c r="M389" s="2">
        <v>29240</v>
      </c>
      <c r="N389" s="2">
        <v>103.486137168</v>
      </c>
      <c r="O389" s="2">
        <v>3.1700000000000001E-6</v>
      </c>
      <c r="P389" s="2">
        <v>9172827</v>
      </c>
      <c r="Q389" s="2">
        <v>145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B65C2-88F0-4B27-8EC7-A0AA40EFF99A}">
  <dimension ref="A1:Q389"/>
  <sheetViews>
    <sheetView topLeftCell="A352" workbookViewId="0">
      <selection activeCell="E2" sqref="E2:E389"/>
    </sheetView>
  </sheetViews>
  <sheetFormatPr defaultRowHeight="15" x14ac:dyDescent="0.25"/>
  <cols>
    <col min="1" max="1" width="10.140625" bestFit="1" customWidth="1"/>
  </cols>
  <sheetData>
    <row r="1" spans="1:17" ht="15.75" x14ac:dyDescent="0.25">
      <c r="A1" s="3" t="s">
        <v>2207</v>
      </c>
      <c r="B1" s="3" t="s">
        <v>2208</v>
      </c>
      <c r="C1" s="3" t="s">
        <v>2192</v>
      </c>
      <c r="D1" s="3" t="s">
        <v>2193</v>
      </c>
      <c r="E1" s="3" t="s">
        <v>2209</v>
      </c>
      <c r="F1" s="3" t="s">
        <v>2210</v>
      </c>
      <c r="G1" s="3" t="s">
        <v>2211</v>
      </c>
      <c r="H1" s="3" t="s">
        <v>2197</v>
      </c>
      <c r="I1" s="3" t="s">
        <v>2198</v>
      </c>
      <c r="J1" s="3" t="s">
        <v>2212</v>
      </c>
      <c r="K1" s="3" t="s">
        <v>2200</v>
      </c>
      <c r="L1" s="3" t="s">
        <v>2201</v>
      </c>
      <c r="M1" s="3" t="s">
        <v>2202</v>
      </c>
      <c r="N1" s="3" t="s">
        <v>2203</v>
      </c>
      <c r="O1" s="3" t="s">
        <v>2204</v>
      </c>
      <c r="P1" s="3" t="s">
        <v>2205</v>
      </c>
      <c r="Q1" s="3" t="s">
        <v>2206</v>
      </c>
    </row>
    <row r="2" spans="1:17" x14ac:dyDescent="0.25">
      <c r="A2" s="1">
        <v>43608</v>
      </c>
      <c r="B2" s="2">
        <v>63410704.608199999</v>
      </c>
      <c r="C2" s="2">
        <v>21569116.400400002</v>
      </c>
      <c r="D2" s="2" t="s">
        <v>5119</v>
      </c>
      <c r="E2" s="2">
        <v>1365698184.7</v>
      </c>
      <c r="F2" s="2">
        <v>154.80000000000001</v>
      </c>
      <c r="G2" s="2">
        <v>405608815</v>
      </c>
      <c r="H2" s="2">
        <v>2030502643.55</v>
      </c>
      <c r="I2" s="2">
        <v>1683.79179064</v>
      </c>
      <c r="J2" s="2">
        <v>1.6919297099999999</v>
      </c>
      <c r="K2" s="2">
        <v>87870</v>
      </c>
      <c r="L2" s="2">
        <v>112847733.287</v>
      </c>
      <c r="M2" s="2" t="s">
        <v>5120</v>
      </c>
      <c r="N2" s="2">
        <v>108.3610836</v>
      </c>
      <c r="O2" s="2">
        <v>2.26E-6</v>
      </c>
      <c r="P2" s="2">
        <v>13895054</v>
      </c>
      <c r="Q2" s="2">
        <v>542</v>
      </c>
    </row>
    <row r="3" spans="1:17" x14ac:dyDescent="0.25">
      <c r="A3" s="1">
        <v>43607</v>
      </c>
      <c r="B3" s="2">
        <v>58893626.586099997</v>
      </c>
      <c r="C3" s="2">
        <v>27835373.044799998</v>
      </c>
      <c r="D3" s="2" t="s">
        <v>5121</v>
      </c>
      <c r="E3" s="2">
        <v>1469944156.0999999</v>
      </c>
      <c r="F3" s="2">
        <v>166.65</v>
      </c>
      <c r="G3" s="2">
        <v>378849361</v>
      </c>
      <c r="H3" s="2">
        <v>2029773805.79</v>
      </c>
      <c r="I3" s="2">
        <v>1705.53817908</v>
      </c>
      <c r="J3" s="2">
        <v>1.88489379</v>
      </c>
      <c r="K3" s="2">
        <v>74885</v>
      </c>
      <c r="L3" s="2">
        <v>112411326.58499999</v>
      </c>
      <c r="M3" s="2" t="s">
        <v>5122</v>
      </c>
      <c r="N3" s="2">
        <v>20.175840547500002</v>
      </c>
      <c r="O3" s="2">
        <v>2.5000000000000002E-6</v>
      </c>
      <c r="P3" s="2">
        <v>15284020</v>
      </c>
      <c r="Q3" s="2">
        <v>549</v>
      </c>
    </row>
    <row r="4" spans="1:17" x14ac:dyDescent="0.25">
      <c r="A4" s="1">
        <v>43606</v>
      </c>
      <c r="B4" s="2">
        <v>34232217.9058</v>
      </c>
      <c r="C4" s="2">
        <v>21134315.627599999</v>
      </c>
      <c r="D4" s="2" t="s">
        <v>5123</v>
      </c>
      <c r="E4" s="2">
        <v>1479289307.04</v>
      </c>
      <c r="F4" s="2">
        <v>167.74</v>
      </c>
      <c r="G4" s="2">
        <v>433507335</v>
      </c>
      <c r="H4" s="2">
        <v>2030402867.5</v>
      </c>
      <c r="I4" s="2">
        <v>1702.4315521599999</v>
      </c>
      <c r="J4" s="2">
        <v>1.8849942099999999</v>
      </c>
      <c r="K4" s="2">
        <v>76502</v>
      </c>
      <c r="L4" s="2">
        <v>109438915.638</v>
      </c>
      <c r="M4" s="2" t="s">
        <v>5124</v>
      </c>
      <c r="N4" s="2">
        <v>14.724096427199999</v>
      </c>
      <c r="O4" s="2">
        <v>3.7400000000000002E-6</v>
      </c>
      <c r="P4" s="2">
        <v>12355244</v>
      </c>
      <c r="Q4" s="2">
        <v>548</v>
      </c>
    </row>
    <row r="5" spans="1:17" x14ac:dyDescent="0.25">
      <c r="A5" s="1">
        <v>43605</v>
      </c>
      <c r="B5" s="2">
        <v>76319100.658600003</v>
      </c>
      <c r="C5" s="2">
        <v>30506914.382300001</v>
      </c>
      <c r="D5" s="2" t="s">
        <v>5125</v>
      </c>
      <c r="E5" s="2">
        <v>1497437896.01</v>
      </c>
      <c r="F5" s="2">
        <v>169.83</v>
      </c>
      <c r="G5" s="2">
        <v>520959990</v>
      </c>
      <c r="H5" s="2">
        <v>2029718496.0799999</v>
      </c>
      <c r="I5" s="2">
        <v>1702.4315521599999</v>
      </c>
      <c r="J5" s="2">
        <v>2.3642371</v>
      </c>
      <c r="K5" s="2">
        <v>99901</v>
      </c>
      <c r="L5" s="2">
        <v>106234238.855</v>
      </c>
      <c r="M5" s="2" t="s">
        <v>5126</v>
      </c>
      <c r="N5" s="2">
        <v>26.358246069300002</v>
      </c>
      <c r="O5" s="2">
        <v>2.2699999999999999E-6</v>
      </c>
      <c r="P5" s="2">
        <v>17655026</v>
      </c>
      <c r="Q5" s="2">
        <v>548</v>
      </c>
    </row>
    <row r="6" spans="1:17" x14ac:dyDescent="0.25">
      <c r="A6" s="1">
        <v>43604</v>
      </c>
      <c r="B6" s="2">
        <v>38651345.335500002</v>
      </c>
      <c r="C6" s="2">
        <v>18714927.041499998</v>
      </c>
      <c r="D6" s="2" t="s">
        <v>5127</v>
      </c>
      <c r="E6" s="2">
        <v>1237695368.9100001</v>
      </c>
      <c r="F6" s="2">
        <v>140.4</v>
      </c>
      <c r="G6" s="2">
        <v>509310051</v>
      </c>
      <c r="H6" s="2">
        <v>2029999792.8800001</v>
      </c>
      <c r="I6" s="2">
        <v>1714.8580598399999</v>
      </c>
      <c r="J6" s="2">
        <v>1.9109187299999999</v>
      </c>
      <c r="K6" s="2">
        <v>73640</v>
      </c>
      <c r="L6" s="2">
        <v>111965621.079</v>
      </c>
      <c r="M6" s="2" t="s">
        <v>5128</v>
      </c>
      <c r="N6" s="2">
        <v>24.138694008000002</v>
      </c>
      <c r="O6" s="2">
        <v>2.9399999999999998E-6</v>
      </c>
      <c r="P6" s="2">
        <v>13849108</v>
      </c>
      <c r="Q6" s="2">
        <v>552</v>
      </c>
    </row>
    <row r="7" spans="1:17" x14ac:dyDescent="0.25">
      <c r="A7" s="1">
        <v>43603</v>
      </c>
      <c r="B7" s="2">
        <v>47461087.528399996</v>
      </c>
      <c r="C7" s="2">
        <v>15389243.6198</v>
      </c>
      <c r="D7" s="2" t="s">
        <v>5129</v>
      </c>
      <c r="E7" s="2">
        <v>1217565361.6199999</v>
      </c>
      <c r="F7" s="2">
        <v>138.13999999999999</v>
      </c>
      <c r="G7" s="2">
        <v>394050658</v>
      </c>
      <c r="H7" s="2">
        <v>2027540280.03</v>
      </c>
      <c r="I7" s="2">
        <v>1699.3249252400001</v>
      </c>
      <c r="J7" s="2">
        <v>1.5476592300000001</v>
      </c>
      <c r="K7" s="2">
        <v>60647</v>
      </c>
      <c r="L7" s="2">
        <v>108079303.61</v>
      </c>
      <c r="M7" s="2" t="s">
        <v>5130</v>
      </c>
      <c r="N7" s="2">
        <v>25.4264849224</v>
      </c>
      <c r="O7" s="2">
        <v>3.7400000000000002E-6</v>
      </c>
      <c r="P7" s="2">
        <v>10797385</v>
      </c>
      <c r="Q7" s="2">
        <v>547</v>
      </c>
    </row>
    <row r="8" spans="1:17" x14ac:dyDescent="0.25">
      <c r="A8" s="1">
        <v>43602</v>
      </c>
      <c r="B8" s="2">
        <v>43388341.341899998</v>
      </c>
      <c r="C8" s="2">
        <v>19164537.738400001</v>
      </c>
      <c r="D8" s="2" t="s">
        <v>5131</v>
      </c>
      <c r="E8" s="2">
        <v>1311115918.5599999</v>
      </c>
      <c r="F8" s="2">
        <v>148.78</v>
      </c>
      <c r="G8" s="2">
        <v>419729334</v>
      </c>
      <c r="H8" s="2">
        <v>2027102297.02</v>
      </c>
      <c r="I8" s="2">
        <v>1727.2845675200001</v>
      </c>
      <c r="J8" s="2">
        <v>2.35516047</v>
      </c>
      <c r="K8" s="2">
        <v>92430</v>
      </c>
      <c r="L8" s="2">
        <v>98002069.704699993</v>
      </c>
      <c r="M8" s="2" t="s">
        <v>5132</v>
      </c>
      <c r="N8" s="2">
        <v>5.5292822370000003</v>
      </c>
      <c r="O8" s="2">
        <v>8.4999999999999999E-6</v>
      </c>
      <c r="P8" s="2">
        <v>17035637</v>
      </c>
      <c r="Q8" s="2">
        <v>556</v>
      </c>
    </row>
    <row r="9" spans="1:17" x14ac:dyDescent="0.25">
      <c r="A9" s="1">
        <v>43601</v>
      </c>
      <c r="B9" s="2">
        <v>81863551.796000004</v>
      </c>
      <c r="C9" s="2">
        <v>26906869.9254</v>
      </c>
      <c r="D9" s="2" t="s">
        <v>5133</v>
      </c>
      <c r="E9" s="2">
        <v>1342274410.9200001</v>
      </c>
      <c r="F9" s="2">
        <v>152.35</v>
      </c>
      <c r="G9" s="2">
        <v>540120847</v>
      </c>
      <c r="H9" s="2">
        <v>2027816779.0899999</v>
      </c>
      <c r="I9" s="2">
        <v>1668.25865604</v>
      </c>
      <c r="J9" s="2">
        <v>2.3421764700000001</v>
      </c>
      <c r="K9" s="2">
        <v>80518</v>
      </c>
      <c r="L9" s="2">
        <v>122230260.036</v>
      </c>
      <c r="M9" s="2" t="s">
        <v>5134</v>
      </c>
      <c r="N9" s="2">
        <v>5.3687164960000002</v>
      </c>
      <c r="O9" s="2">
        <v>8.4600000000000003E-6</v>
      </c>
      <c r="P9" s="2">
        <v>15237111</v>
      </c>
      <c r="Q9" s="2">
        <v>537</v>
      </c>
    </row>
    <row r="10" spans="1:17" x14ac:dyDescent="0.25">
      <c r="A10" s="1">
        <v>43600</v>
      </c>
      <c r="B10" s="2">
        <v>144962238.521</v>
      </c>
      <c r="C10" s="2">
        <v>29502638.151099999</v>
      </c>
      <c r="D10" s="2" t="s">
        <v>5135</v>
      </c>
      <c r="E10" s="2">
        <v>1245995739.0699999</v>
      </c>
      <c r="F10" s="2">
        <v>141.44999999999999</v>
      </c>
      <c r="G10" s="2">
        <v>512588128</v>
      </c>
      <c r="H10" s="2">
        <v>2029747185.21</v>
      </c>
      <c r="I10" s="2">
        <v>1714.8580598399999</v>
      </c>
      <c r="J10" s="2">
        <v>2.7870613799999999</v>
      </c>
      <c r="K10" s="2">
        <v>74261</v>
      </c>
      <c r="L10" s="2">
        <v>116401681.546</v>
      </c>
      <c r="M10" s="2" t="s">
        <v>5136</v>
      </c>
      <c r="N10" s="2">
        <v>15.559655595000001</v>
      </c>
      <c r="O10" s="2">
        <v>3.7400000000000002E-6</v>
      </c>
      <c r="P10" s="2">
        <v>14019045</v>
      </c>
      <c r="Q10" s="2">
        <v>552</v>
      </c>
    </row>
    <row r="11" spans="1:17" x14ac:dyDescent="0.25">
      <c r="A11" s="1">
        <v>43599</v>
      </c>
      <c r="B11" s="2">
        <v>26100754.441399999</v>
      </c>
      <c r="C11" s="2">
        <v>14613011.971000001</v>
      </c>
      <c r="D11" s="2" t="s">
        <v>5137</v>
      </c>
      <c r="E11" s="2">
        <v>1160509214.3599999</v>
      </c>
      <c r="F11" s="2">
        <v>131.77000000000001</v>
      </c>
      <c r="G11" s="2">
        <v>387372749</v>
      </c>
      <c r="H11" s="2">
        <v>2026841330.75</v>
      </c>
      <c r="I11" s="2">
        <v>1714.8580598399999</v>
      </c>
      <c r="J11" s="2">
        <v>1.8944566</v>
      </c>
      <c r="K11" s="2">
        <v>96475</v>
      </c>
      <c r="L11" s="2">
        <v>127201448.686</v>
      </c>
      <c r="M11" s="2" t="s">
        <v>5138</v>
      </c>
      <c r="N11" s="2">
        <v>13.4203225289</v>
      </c>
      <c r="O11" s="2">
        <v>3.7400000000000002E-6</v>
      </c>
      <c r="P11" s="2">
        <v>17610663</v>
      </c>
      <c r="Q11" s="2">
        <v>552</v>
      </c>
    </row>
    <row r="12" spans="1:17" x14ac:dyDescent="0.25">
      <c r="A12" s="1">
        <v>43598</v>
      </c>
      <c r="B12" s="2">
        <v>29212333.766399998</v>
      </c>
      <c r="C12" s="2">
        <v>16819953.031199999</v>
      </c>
      <c r="D12" s="2" t="s">
        <v>5139</v>
      </c>
      <c r="E12" s="2">
        <v>1094264641.0599999</v>
      </c>
      <c r="F12" s="2">
        <v>124.27</v>
      </c>
      <c r="G12" s="2">
        <v>377459113</v>
      </c>
      <c r="H12" s="2">
        <v>2025948199.1199999</v>
      </c>
      <c r="I12" s="2">
        <v>1693.1116714</v>
      </c>
      <c r="J12" s="2">
        <v>2.2631323800000001</v>
      </c>
      <c r="K12" s="2">
        <v>81820</v>
      </c>
      <c r="L12" s="2">
        <v>107800870.494</v>
      </c>
      <c r="M12" s="2" t="s">
        <v>5140</v>
      </c>
      <c r="N12" s="2">
        <v>12.762998740600001</v>
      </c>
      <c r="O12" s="2">
        <v>3.7400000000000002E-6</v>
      </c>
      <c r="P12" s="2">
        <v>14297197</v>
      </c>
      <c r="Q12" s="2">
        <v>545</v>
      </c>
    </row>
    <row r="13" spans="1:17" x14ac:dyDescent="0.25">
      <c r="A13" s="1">
        <v>43597</v>
      </c>
      <c r="B13" s="2">
        <v>22062117.745499998</v>
      </c>
      <c r="C13" s="2">
        <v>12977397.3397</v>
      </c>
      <c r="D13" s="2" t="s">
        <v>5141</v>
      </c>
      <c r="E13" s="2">
        <v>1092706388.8399999</v>
      </c>
      <c r="F13" s="2">
        <v>124.12</v>
      </c>
      <c r="G13" s="2">
        <v>343541553</v>
      </c>
      <c r="H13" s="2">
        <v>2026051886.5899999</v>
      </c>
      <c r="I13" s="2">
        <v>1705.53817908</v>
      </c>
      <c r="J13" s="2">
        <v>1.8821623700000001</v>
      </c>
      <c r="K13" s="2">
        <v>103503</v>
      </c>
      <c r="L13" s="2">
        <v>107913309.07799999</v>
      </c>
      <c r="M13" s="2" t="s">
        <v>5142</v>
      </c>
      <c r="N13" s="2">
        <v>16.135761356</v>
      </c>
      <c r="O13" s="2">
        <v>3.7400000000000002E-6</v>
      </c>
      <c r="P13" s="2">
        <v>17784529</v>
      </c>
      <c r="Q13" s="2">
        <v>549</v>
      </c>
    </row>
    <row r="14" spans="1:17" x14ac:dyDescent="0.25">
      <c r="A14" s="1">
        <v>43596</v>
      </c>
      <c r="B14" s="2">
        <v>32342474.147500001</v>
      </c>
      <c r="C14" s="2">
        <v>21218699.896400001</v>
      </c>
      <c r="D14" s="2" t="s">
        <v>5143</v>
      </c>
      <c r="E14" s="2">
        <v>993065107.977</v>
      </c>
      <c r="F14" s="2">
        <v>112.82</v>
      </c>
      <c r="G14" s="2">
        <v>365589460</v>
      </c>
      <c r="H14" s="2">
        <v>2026193001.76</v>
      </c>
      <c r="I14" s="2">
        <v>1696.21829832</v>
      </c>
      <c r="J14" s="2">
        <v>2.12583156</v>
      </c>
      <c r="K14" s="2">
        <v>121554</v>
      </c>
      <c r="L14" s="2">
        <v>104226454.62100001</v>
      </c>
      <c r="M14" s="2" t="s">
        <v>5144</v>
      </c>
      <c r="N14" s="2">
        <v>12.184901844600001</v>
      </c>
      <c r="O14" s="2">
        <v>3.7400000000000002E-6</v>
      </c>
      <c r="P14" s="2">
        <v>20813847</v>
      </c>
      <c r="Q14" s="2">
        <v>546</v>
      </c>
    </row>
    <row r="15" spans="1:17" x14ac:dyDescent="0.25">
      <c r="A15" s="1">
        <v>43595</v>
      </c>
      <c r="B15" s="2">
        <v>25680668.115200002</v>
      </c>
      <c r="C15" s="2">
        <v>12869804.284700001</v>
      </c>
      <c r="D15" s="2" t="s">
        <v>5145</v>
      </c>
      <c r="E15" s="2">
        <v>989021102.98099995</v>
      </c>
      <c r="F15" s="2">
        <v>112.38</v>
      </c>
      <c r="G15" s="2">
        <v>284472127</v>
      </c>
      <c r="H15" s="2">
        <v>2030767238.72</v>
      </c>
      <c r="I15" s="2">
        <v>1724.1779406000001</v>
      </c>
      <c r="J15" s="2">
        <v>1.82467884</v>
      </c>
      <c r="K15" s="2">
        <v>100564</v>
      </c>
      <c r="L15" s="2">
        <v>111236172.53200001</v>
      </c>
      <c r="M15" s="2" t="s">
        <v>5146</v>
      </c>
      <c r="N15" s="2">
        <v>14.3817214914</v>
      </c>
      <c r="O15" s="2">
        <v>3.7400000000000002E-6</v>
      </c>
      <c r="P15" s="2">
        <v>17070794</v>
      </c>
      <c r="Q15" s="2">
        <v>555</v>
      </c>
    </row>
    <row r="16" spans="1:17" x14ac:dyDescent="0.25">
      <c r="A16" s="1">
        <v>43594</v>
      </c>
      <c r="B16" s="2">
        <v>21976584.438999999</v>
      </c>
      <c r="C16" s="2">
        <v>11210633.2085</v>
      </c>
      <c r="D16" s="2" t="s">
        <v>5147</v>
      </c>
      <c r="E16" s="2">
        <v>1038467415.72</v>
      </c>
      <c r="F16" s="2">
        <v>118.02</v>
      </c>
      <c r="G16" s="2">
        <v>280347731</v>
      </c>
      <c r="H16" s="2">
        <v>2034685528.3599999</v>
      </c>
      <c r="I16" s="2">
        <v>1705.53817908</v>
      </c>
      <c r="J16" s="2">
        <v>1.8626013400000001</v>
      </c>
      <c r="K16" s="2">
        <v>73219</v>
      </c>
      <c r="L16" s="2">
        <v>112330849.02500001</v>
      </c>
      <c r="M16" s="2" t="s">
        <v>5148</v>
      </c>
      <c r="N16" s="2">
        <v>14.162541623999999</v>
      </c>
      <c r="O16" s="2">
        <v>3.7400000000000002E-6</v>
      </c>
      <c r="P16" s="2">
        <v>12865584</v>
      </c>
      <c r="Q16" s="2">
        <v>549</v>
      </c>
    </row>
    <row r="17" spans="1:17" x14ac:dyDescent="0.25">
      <c r="A17" s="1">
        <v>43593</v>
      </c>
      <c r="B17" s="2">
        <v>31915615.182999998</v>
      </c>
      <c r="C17" s="2">
        <v>12729143.3332</v>
      </c>
      <c r="D17" s="2" t="s">
        <v>5149</v>
      </c>
      <c r="E17" s="2">
        <v>1033754884.4400001</v>
      </c>
      <c r="F17" s="2">
        <v>117.51</v>
      </c>
      <c r="G17" s="2">
        <v>277441522</v>
      </c>
      <c r="H17" s="2">
        <v>2037145676.9000001</v>
      </c>
      <c r="I17" s="2">
        <v>1693.1116714</v>
      </c>
      <c r="J17" s="2">
        <v>1.4359030800000001</v>
      </c>
      <c r="K17" s="2">
        <v>63896</v>
      </c>
      <c r="L17" s="2">
        <v>112187953.147</v>
      </c>
      <c r="M17" s="2" t="s">
        <v>5150</v>
      </c>
      <c r="N17" s="2">
        <v>15.276452763</v>
      </c>
      <c r="O17" s="2">
        <v>3.7400000000000002E-6</v>
      </c>
      <c r="P17" s="2">
        <v>11093502</v>
      </c>
      <c r="Q17" s="2">
        <v>545</v>
      </c>
    </row>
    <row r="18" spans="1:17" x14ac:dyDescent="0.25">
      <c r="A18" s="1">
        <v>43592</v>
      </c>
      <c r="B18" s="2">
        <v>37878624.478299998</v>
      </c>
      <c r="C18" s="2">
        <v>13808208.6171</v>
      </c>
      <c r="D18" s="2" t="s">
        <v>5151</v>
      </c>
      <c r="E18" s="2">
        <v>1058964769.86</v>
      </c>
      <c r="F18" s="2">
        <v>120.4</v>
      </c>
      <c r="G18" s="2">
        <v>296756861</v>
      </c>
      <c r="H18" s="2">
        <v>2037637402.0999999</v>
      </c>
      <c r="I18" s="2">
        <v>1683.79179064</v>
      </c>
      <c r="J18" s="2">
        <v>1.5498453800000001</v>
      </c>
      <c r="K18" s="2">
        <v>73529</v>
      </c>
      <c r="L18" s="2">
        <v>121257620.934</v>
      </c>
      <c r="M18" s="2" t="s">
        <v>5152</v>
      </c>
      <c r="N18" s="2">
        <v>13.24413244</v>
      </c>
      <c r="O18" s="2">
        <v>3.7400000000000002E-6</v>
      </c>
      <c r="P18" s="2">
        <v>11691819</v>
      </c>
      <c r="Q18" s="2">
        <v>542</v>
      </c>
    </row>
    <row r="19" spans="1:17" x14ac:dyDescent="0.25">
      <c r="A19" s="1">
        <v>43591</v>
      </c>
      <c r="B19" s="2">
        <v>19587118.569600001</v>
      </c>
      <c r="C19" s="2">
        <v>11642190.833699999</v>
      </c>
      <c r="D19" s="2" t="s">
        <v>5153</v>
      </c>
      <c r="E19" s="2">
        <v>1048980037.58</v>
      </c>
      <c r="F19" s="2">
        <v>119.29</v>
      </c>
      <c r="G19" s="2">
        <v>299199981</v>
      </c>
      <c r="H19" s="2">
        <v>2037657593.1199999</v>
      </c>
      <c r="I19" s="2">
        <v>1711.7514329200001</v>
      </c>
      <c r="J19" s="2">
        <v>1.4322136299999999</v>
      </c>
      <c r="K19" s="2">
        <v>73599</v>
      </c>
      <c r="L19" s="2">
        <v>115453499.873</v>
      </c>
      <c r="M19" s="2" t="s">
        <v>5154</v>
      </c>
      <c r="N19" s="2">
        <v>13.500551510899999</v>
      </c>
      <c r="O19" s="2">
        <v>3.7400000000000002E-6</v>
      </c>
      <c r="P19" s="2">
        <v>12092572</v>
      </c>
      <c r="Q19" s="2">
        <v>551</v>
      </c>
    </row>
    <row r="20" spans="1:17" x14ac:dyDescent="0.25">
      <c r="A20" s="1">
        <v>43590</v>
      </c>
      <c r="B20" s="2">
        <v>19971149.133499999</v>
      </c>
      <c r="C20" s="2">
        <v>14793034.2191</v>
      </c>
      <c r="D20" s="2" t="s">
        <v>5155</v>
      </c>
      <c r="E20" s="2">
        <v>1061372592.48</v>
      </c>
      <c r="F20" s="2">
        <v>120.72</v>
      </c>
      <c r="G20" s="2">
        <v>255827278</v>
      </c>
      <c r="H20" s="2">
        <v>2037978771.79</v>
      </c>
      <c r="I20" s="2">
        <v>1717.9646867599999</v>
      </c>
      <c r="J20" s="2">
        <v>1.25448918</v>
      </c>
      <c r="K20" s="2">
        <v>42159</v>
      </c>
      <c r="L20" s="2">
        <v>117876705.30400001</v>
      </c>
      <c r="M20" s="2" t="s">
        <v>5156</v>
      </c>
      <c r="N20" s="2">
        <v>14.465421278399999</v>
      </c>
      <c r="O20" s="2">
        <v>3.7400000000000002E-6</v>
      </c>
      <c r="P20" s="2">
        <v>7365451</v>
      </c>
      <c r="Q20" s="2">
        <v>553</v>
      </c>
    </row>
    <row r="21" spans="1:17" x14ac:dyDescent="0.25">
      <c r="A21" s="1">
        <v>43589</v>
      </c>
      <c r="B21" s="2">
        <v>19916805.787700001</v>
      </c>
      <c r="C21" s="2">
        <v>12405719.0473</v>
      </c>
      <c r="D21" s="2" t="s">
        <v>5157</v>
      </c>
      <c r="E21" s="2">
        <v>1063890134.34</v>
      </c>
      <c r="F21" s="2">
        <v>121.03</v>
      </c>
      <c r="G21" s="2">
        <v>290182752</v>
      </c>
      <c r="H21" s="2">
        <v>2037589157.8099999</v>
      </c>
      <c r="I21" s="2">
        <v>1683.79179064</v>
      </c>
      <c r="J21" s="2">
        <v>1.1913347700000001</v>
      </c>
      <c r="K21" s="2">
        <v>56020</v>
      </c>
      <c r="L21" s="2">
        <v>113482482.33499999</v>
      </c>
      <c r="M21" s="2" t="s">
        <v>5158</v>
      </c>
      <c r="N21" s="2">
        <v>17.063827262299998</v>
      </c>
      <c r="O21" s="2">
        <v>5.22E-6</v>
      </c>
      <c r="P21" s="2">
        <v>9484736</v>
      </c>
      <c r="Q21" s="2">
        <v>542</v>
      </c>
    </row>
    <row r="22" spans="1:17" x14ac:dyDescent="0.25">
      <c r="A22" s="1">
        <v>43588</v>
      </c>
      <c r="B22" s="2">
        <v>20000585.5997</v>
      </c>
      <c r="C22" s="2">
        <v>11562245.5934</v>
      </c>
      <c r="D22" s="2" t="s">
        <v>5159</v>
      </c>
      <c r="E22" s="2">
        <v>1030356030.8200001</v>
      </c>
      <c r="F22" s="2">
        <v>117.24</v>
      </c>
      <c r="G22" s="2">
        <v>286573520</v>
      </c>
      <c r="H22" s="2">
        <v>2037373117.79</v>
      </c>
      <c r="I22" s="2">
        <v>1708.644806</v>
      </c>
      <c r="J22" s="2">
        <v>1.55044446</v>
      </c>
      <c r="K22" s="2">
        <v>60018</v>
      </c>
      <c r="L22" s="2">
        <v>123718730.478</v>
      </c>
      <c r="M22" s="2" t="s">
        <v>5160</v>
      </c>
      <c r="N22" s="2">
        <v>13.206926553600001</v>
      </c>
      <c r="O22" s="2">
        <v>3.7400000000000002E-6</v>
      </c>
      <c r="P22" s="2">
        <v>10589025</v>
      </c>
      <c r="Q22" s="2">
        <v>550</v>
      </c>
    </row>
    <row r="23" spans="1:17" x14ac:dyDescent="0.25">
      <c r="A23" s="1">
        <v>43587</v>
      </c>
      <c r="B23" s="2">
        <v>23071469.5942</v>
      </c>
      <c r="C23" s="2">
        <v>11921309.657500001</v>
      </c>
      <c r="D23" s="2" t="s">
        <v>5161</v>
      </c>
      <c r="E23" s="2">
        <v>1029837347.6799999</v>
      </c>
      <c r="F23" s="2">
        <v>117.2</v>
      </c>
      <c r="G23" s="2">
        <v>259390832</v>
      </c>
      <c r="H23" s="2">
        <v>2037008166.6900001</v>
      </c>
      <c r="I23" s="2">
        <v>6802.8340539500005</v>
      </c>
      <c r="J23" s="2">
        <v>1.6077536100000001</v>
      </c>
      <c r="K23" s="2">
        <v>62787</v>
      </c>
      <c r="L23" s="2">
        <v>128672496.59199999</v>
      </c>
      <c r="M23" s="2" t="s">
        <v>5162</v>
      </c>
      <c r="N23" s="2">
        <v>13.894440899999999</v>
      </c>
      <c r="O23" s="2">
        <v>3.7400000000000002E-6</v>
      </c>
      <c r="P23" s="2">
        <v>10989064</v>
      </c>
      <c r="Q23" s="2">
        <v>556</v>
      </c>
    </row>
    <row r="24" spans="1:17" x14ac:dyDescent="0.25">
      <c r="A24" s="1">
        <v>43586</v>
      </c>
      <c r="B24" s="2">
        <v>26581590.404899999</v>
      </c>
      <c r="C24" s="2">
        <v>13759088.0703</v>
      </c>
      <c r="D24" s="2" t="s">
        <v>5163</v>
      </c>
      <c r="E24" s="2">
        <v>981908711.92400002</v>
      </c>
      <c r="F24" s="2">
        <v>111.83</v>
      </c>
      <c r="G24" s="2">
        <v>276115351</v>
      </c>
      <c r="H24" s="2">
        <v>2036156520.22</v>
      </c>
      <c r="I24" s="2">
        <v>1696.21829832</v>
      </c>
      <c r="J24" s="2">
        <v>1.5777458799999999</v>
      </c>
      <c r="K24" s="2">
        <v>74930</v>
      </c>
      <c r="L24" s="2">
        <v>115907461.699</v>
      </c>
      <c r="M24" s="2" t="s">
        <v>5164</v>
      </c>
      <c r="N24" s="2">
        <v>14.250339219700001</v>
      </c>
      <c r="O24" s="2">
        <v>3.4199999999999999E-6</v>
      </c>
      <c r="P24" s="2">
        <v>12564578</v>
      </c>
      <c r="Q24" s="2">
        <v>546</v>
      </c>
    </row>
    <row r="25" spans="1:17" x14ac:dyDescent="0.25">
      <c r="A25" s="1">
        <v>43585</v>
      </c>
      <c r="B25" s="2">
        <v>35722537.6219</v>
      </c>
      <c r="C25" s="2">
        <v>20041636.953299999</v>
      </c>
      <c r="D25" s="2" t="s">
        <v>5165</v>
      </c>
      <c r="E25" s="2">
        <v>949198672.00399995</v>
      </c>
      <c r="F25" s="2">
        <v>108.13</v>
      </c>
      <c r="G25" s="2">
        <v>253599720</v>
      </c>
      <c r="H25" s="2">
        <v>2037902715.49</v>
      </c>
      <c r="I25" s="2">
        <v>1696.21829832</v>
      </c>
      <c r="J25" s="2">
        <v>1.14235547</v>
      </c>
      <c r="K25" s="2">
        <v>77640</v>
      </c>
      <c r="L25" s="2">
        <v>121182489.962</v>
      </c>
      <c r="M25" s="2" t="s">
        <v>5166</v>
      </c>
      <c r="N25" s="2">
        <v>14.057040569</v>
      </c>
      <c r="O25" s="2">
        <v>3.7400000000000002E-6</v>
      </c>
      <c r="P25" s="2">
        <v>12889118</v>
      </c>
      <c r="Q25" s="2">
        <v>546</v>
      </c>
    </row>
    <row r="26" spans="1:17" x14ac:dyDescent="0.25">
      <c r="A26" s="1">
        <v>43584</v>
      </c>
      <c r="B26" s="2">
        <v>80190042.902400002</v>
      </c>
      <c r="C26" s="2">
        <v>23582192.108399998</v>
      </c>
      <c r="D26" s="2" t="s">
        <v>5167</v>
      </c>
      <c r="E26" s="2">
        <v>967958452.75999999</v>
      </c>
      <c r="F26" s="2">
        <v>110.29</v>
      </c>
      <c r="G26" s="2">
        <v>254679199</v>
      </c>
      <c r="H26" s="2">
        <v>2038238197.95</v>
      </c>
      <c r="I26" s="2">
        <v>1702.4315521599999</v>
      </c>
      <c r="J26" s="2">
        <v>0.85275822000000001</v>
      </c>
      <c r="K26" s="2">
        <v>45111</v>
      </c>
      <c r="L26" s="2">
        <v>114818402.301</v>
      </c>
      <c r="M26" s="2" t="s">
        <v>5168</v>
      </c>
      <c r="N26" s="2">
        <v>13.0737721884</v>
      </c>
      <c r="O26" s="2">
        <v>3.7400000000000002E-6</v>
      </c>
      <c r="P26" s="2">
        <v>8399064</v>
      </c>
      <c r="Q26" s="2">
        <v>548</v>
      </c>
    </row>
    <row r="27" spans="1:17" x14ac:dyDescent="0.25">
      <c r="A27" s="1">
        <v>43583</v>
      </c>
      <c r="B27" s="2">
        <v>14994573.420399999</v>
      </c>
      <c r="C27" s="2">
        <v>9318637.6502700001</v>
      </c>
      <c r="D27" s="2" t="s">
        <v>5169</v>
      </c>
      <c r="E27" s="2">
        <v>962303889.74300003</v>
      </c>
      <c r="F27" s="2">
        <v>109.67</v>
      </c>
      <c r="G27" s="2">
        <v>239641263</v>
      </c>
      <c r="H27" s="2">
        <v>2041311190.8</v>
      </c>
      <c r="I27" s="2">
        <v>1724.1779406000001</v>
      </c>
      <c r="J27" s="2">
        <v>1.06781909</v>
      </c>
      <c r="K27" s="2">
        <v>46935</v>
      </c>
      <c r="L27" s="2">
        <v>115207681.98199999</v>
      </c>
      <c r="M27" s="2" t="s">
        <v>5170</v>
      </c>
      <c r="N27" s="2">
        <v>11.555705269900001</v>
      </c>
      <c r="O27" s="2">
        <v>3.7400000000000002E-6</v>
      </c>
      <c r="P27" s="2">
        <v>8070574</v>
      </c>
      <c r="Q27" s="2">
        <v>555</v>
      </c>
    </row>
    <row r="28" spans="1:17" x14ac:dyDescent="0.25">
      <c r="A28" s="1">
        <v>43582</v>
      </c>
      <c r="B28" s="2">
        <v>35285723.428099997</v>
      </c>
      <c r="C28" s="2">
        <v>15720566.3981</v>
      </c>
      <c r="D28" s="2" t="s">
        <v>5171</v>
      </c>
      <c r="E28" s="2">
        <v>960612705.99800003</v>
      </c>
      <c r="F28" s="2">
        <v>109.49</v>
      </c>
      <c r="G28" s="2">
        <v>234540155</v>
      </c>
      <c r="H28" s="2">
        <v>2041113755.97</v>
      </c>
      <c r="I28" s="2">
        <v>1683.79179064</v>
      </c>
      <c r="J28" s="2">
        <v>0.95155118999999999</v>
      </c>
      <c r="K28" s="2">
        <v>58331</v>
      </c>
      <c r="L28" s="2">
        <v>109527009.41500001</v>
      </c>
      <c r="M28" s="2" t="s">
        <v>5172</v>
      </c>
      <c r="N28" s="2">
        <v>12.778174976800001</v>
      </c>
      <c r="O28" s="2">
        <v>3.7400000000000002E-6</v>
      </c>
      <c r="P28" s="2">
        <v>10154454</v>
      </c>
      <c r="Q28" s="2">
        <v>542</v>
      </c>
    </row>
    <row r="29" spans="1:17" x14ac:dyDescent="0.25">
      <c r="A29" s="1">
        <v>43581</v>
      </c>
      <c r="B29" s="2">
        <v>71053462.251399994</v>
      </c>
      <c r="C29" s="2">
        <v>20304420.918099999</v>
      </c>
      <c r="D29" s="2" t="s">
        <v>5173</v>
      </c>
      <c r="E29" s="2">
        <v>953812378.51900005</v>
      </c>
      <c r="F29" s="2">
        <v>108.74</v>
      </c>
      <c r="G29" s="2">
        <v>273673328</v>
      </c>
      <c r="H29" s="2">
        <v>2042832276.01</v>
      </c>
      <c r="I29" s="2">
        <v>1714.8580598399999</v>
      </c>
      <c r="J29" s="2">
        <v>1.66454831</v>
      </c>
      <c r="K29" s="2">
        <v>93159</v>
      </c>
      <c r="L29" s="2">
        <v>117990337.795</v>
      </c>
      <c r="M29" s="2" t="s">
        <v>5174</v>
      </c>
      <c r="N29" s="2">
        <v>12.902992708799999</v>
      </c>
      <c r="O29" s="2">
        <v>2.2699999999999999E-6</v>
      </c>
      <c r="P29" s="2">
        <v>15686584</v>
      </c>
      <c r="Q29" s="2">
        <v>552</v>
      </c>
    </row>
    <row r="30" spans="1:17" x14ac:dyDescent="0.25">
      <c r="A30" s="1">
        <v>43580</v>
      </c>
      <c r="B30" s="2">
        <v>19706879.8906</v>
      </c>
      <c r="C30" s="2">
        <v>9900945.3339900002</v>
      </c>
      <c r="D30" s="2" t="s">
        <v>5175</v>
      </c>
      <c r="E30" s="2">
        <v>1012170612.29</v>
      </c>
      <c r="F30" s="2">
        <v>115.42</v>
      </c>
      <c r="G30" s="2">
        <v>282460122</v>
      </c>
      <c r="H30" s="2">
        <v>2045502632.72</v>
      </c>
      <c r="I30" s="2">
        <v>1690.0050444799999</v>
      </c>
      <c r="J30" s="2">
        <v>1.22784637</v>
      </c>
      <c r="K30" s="2">
        <v>72668</v>
      </c>
      <c r="L30" s="2">
        <v>112829356.57799999</v>
      </c>
      <c r="M30" s="2" t="s">
        <v>5176</v>
      </c>
      <c r="N30" s="2">
        <v>12.6547226688</v>
      </c>
      <c r="O30" s="2">
        <v>2.4099999999999998E-6</v>
      </c>
      <c r="P30" s="2">
        <v>11952252</v>
      </c>
      <c r="Q30" s="2">
        <v>544</v>
      </c>
    </row>
    <row r="31" spans="1:17" x14ac:dyDescent="0.25">
      <c r="A31" s="1">
        <v>43579</v>
      </c>
      <c r="B31" s="2">
        <v>104480778.892</v>
      </c>
      <c r="C31" s="2">
        <v>24295302.3851</v>
      </c>
      <c r="D31" s="2" t="s">
        <v>5177</v>
      </c>
      <c r="E31" s="2">
        <v>1041101867.88</v>
      </c>
      <c r="F31" s="2">
        <v>118.74</v>
      </c>
      <c r="G31" s="2">
        <v>312408765</v>
      </c>
      <c r="H31" s="2">
        <v>2046271367.0699999</v>
      </c>
      <c r="I31" s="2">
        <v>1717.9646867599999</v>
      </c>
      <c r="J31" s="2">
        <v>1.5005766199999999</v>
      </c>
      <c r="K31" s="2">
        <v>76428</v>
      </c>
      <c r="L31" s="2">
        <v>104104838.038</v>
      </c>
      <c r="M31" s="2" t="s">
        <v>5178</v>
      </c>
      <c r="N31" s="2">
        <v>14.579161990199999</v>
      </c>
      <c r="O31" s="2">
        <v>3.76E-6</v>
      </c>
      <c r="P31" s="2">
        <v>12925403</v>
      </c>
      <c r="Q31" s="2">
        <v>553</v>
      </c>
    </row>
    <row r="32" spans="1:17" x14ac:dyDescent="0.25">
      <c r="A32" s="1">
        <v>43578</v>
      </c>
      <c r="B32" s="2">
        <v>26422815.4153</v>
      </c>
      <c r="C32" s="2">
        <v>13395233.818</v>
      </c>
      <c r="D32" s="2" t="s">
        <v>5179</v>
      </c>
      <c r="E32" s="2">
        <v>1075799179.49</v>
      </c>
      <c r="F32" s="2">
        <v>122.72</v>
      </c>
      <c r="G32" s="2">
        <v>295558405</v>
      </c>
      <c r="H32" s="2">
        <v>2047334281.3199999</v>
      </c>
      <c r="I32" s="2">
        <v>1705.53817908</v>
      </c>
      <c r="J32" s="2">
        <v>1.38173178</v>
      </c>
      <c r="K32" s="2">
        <v>73661</v>
      </c>
      <c r="L32" s="2">
        <v>108488814.90000001</v>
      </c>
      <c r="M32" s="2" t="s">
        <v>5180</v>
      </c>
      <c r="N32" s="2">
        <v>14.2267933808</v>
      </c>
      <c r="O32" s="2">
        <v>3.7400000000000002E-6</v>
      </c>
      <c r="P32" s="2">
        <v>13636234</v>
      </c>
      <c r="Q32" s="2">
        <v>549</v>
      </c>
    </row>
    <row r="33" spans="1:17" x14ac:dyDescent="0.25">
      <c r="A33" s="1">
        <v>43577</v>
      </c>
      <c r="B33" s="2">
        <v>17764015.535700001</v>
      </c>
      <c r="C33" s="2">
        <v>10635464.8443</v>
      </c>
      <c r="D33" s="2" t="s">
        <v>5181</v>
      </c>
      <c r="E33" s="2">
        <v>1065584121.9</v>
      </c>
      <c r="F33" s="2">
        <v>121.58</v>
      </c>
      <c r="G33" s="2">
        <v>252838818</v>
      </c>
      <c r="H33" s="2">
        <v>2047720659.79</v>
      </c>
      <c r="I33" s="2">
        <v>1699.3249252400001</v>
      </c>
      <c r="J33" s="2">
        <v>1.50312891</v>
      </c>
      <c r="K33" s="2">
        <v>69137</v>
      </c>
      <c r="L33" s="2">
        <v>110704448.008</v>
      </c>
      <c r="M33" s="2" t="s">
        <v>5182</v>
      </c>
      <c r="N33" s="2">
        <v>15.805558054</v>
      </c>
      <c r="O33" s="2">
        <v>3.7400000000000002E-6</v>
      </c>
      <c r="P33" s="2">
        <v>12363703</v>
      </c>
      <c r="Q33" s="2">
        <v>547</v>
      </c>
    </row>
    <row r="34" spans="1:17" x14ac:dyDescent="0.25">
      <c r="A34" s="1">
        <v>43576</v>
      </c>
      <c r="B34" s="2">
        <v>12134130.326099999</v>
      </c>
      <c r="C34" s="2">
        <v>7596817.9386600005</v>
      </c>
      <c r="D34" s="2" t="s">
        <v>5183</v>
      </c>
      <c r="E34" s="2">
        <v>1083036819.9000001</v>
      </c>
      <c r="F34" s="2">
        <v>123.59</v>
      </c>
      <c r="G34" s="2">
        <v>267992470</v>
      </c>
      <c r="H34" s="2">
        <v>2048408131.1099999</v>
      </c>
      <c r="I34" s="2">
        <v>1711.7514329200001</v>
      </c>
      <c r="J34" s="2">
        <v>1.14293811</v>
      </c>
      <c r="K34" s="2">
        <v>53330</v>
      </c>
      <c r="L34" s="2">
        <v>109119368.891</v>
      </c>
      <c r="M34" s="2" t="s">
        <v>5184</v>
      </c>
      <c r="N34" s="2">
        <v>13.4972095204</v>
      </c>
      <c r="O34" s="2">
        <v>3.7400000000000002E-6</v>
      </c>
      <c r="P34" s="2">
        <v>9527303</v>
      </c>
      <c r="Q34" s="2">
        <v>551</v>
      </c>
    </row>
    <row r="35" spans="1:17" x14ac:dyDescent="0.25">
      <c r="A35" s="1">
        <v>43575</v>
      </c>
      <c r="B35" s="2">
        <v>19068091.443799999</v>
      </c>
      <c r="C35" s="2">
        <v>9229157.6054500006</v>
      </c>
      <c r="D35" s="2" t="s">
        <v>5185</v>
      </c>
      <c r="E35" s="2">
        <v>1078108672.22</v>
      </c>
      <c r="F35" s="2">
        <v>123.05</v>
      </c>
      <c r="G35" s="2">
        <v>256996001</v>
      </c>
      <c r="H35" s="2">
        <v>2048540529.5799999</v>
      </c>
      <c r="I35" s="2">
        <v>1711.7514329200001</v>
      </c>
      <c r="J35" s="2">
        <v>1.11095571</v>
      </c>
      <c r="K35" s="2">
        <v>76311</v>
      </c>
      <c r="L35" s="2">
        <v>109821066.483</v>
      </c>
      <c r="M35" s="2" t="s">
        <v>5186</v>
      </c>
      <c r="N35" s="2">
        <v>15.996659964999999</v>
      </c>
      <c r="O35" s="2">
        <v>2.48E-6</v>
      </c>
      <c r="P35" s="2">
        <v>12176524</v>
      </c>
      <c r="Q35" s="2">
        <v>551</v>
      </c>
    </row>
    <row r="36" spans="1:17" x14ac:dyDescent="0.25">
      <c r="A36" s="1">
        <v>43574</v>
      </c>
      <c r="B36" s="2">
        <v>14820542.8631</v>
      </c>
      <c r="C36" s="2">
        <v>10724578.0165</v>
      </c>
      <c r="D36" s="2" t="s">
        <v>5187</v>
      </c>
      <c r="E36" s="2">
        <v>1089470862.28</v>
      </c>
      <c r="F36" s="2">
        <v>124.37</v>
      </c>
      <c r="G36" s="2">
        <v>256691636</v>
      </c>
      <c r="H36" s="2">
        <v>2047992890.25</v>
      </c>
      <c r="I36" s="2">
        <v>1693.1116714</v>
      </c>
      <c r="J36" s="2">
        <v>1.61357072</v>
      </c>
      <c r="K36" s="2">
        <v>81149</v>
      </c>
      <c r="L36" s="2">
        <v>117870698.802</v>
      </c>
      <c r="M36" s="2" t="s">
        <v>5188</v>
      </c>
      <c r="N36" s="2">
        <v>17.411974118</v>
      </c>
      <c r="O36" s="2">
        <v>3.7400000000000002E-6</v>
      </c>
      <c r="P36" s="2">
        <v>12765036</v>
      </c>
      <c r="Q36" s="2">
        <v>545</v>
      </c>
    </row>
    <row r="37" spans="1:17" x14ac:dyDescent="0.25">
      <c r="A37" s="1">
        <v>43573</v>
      </c>
      <c r="B37" s="2">
        <v>17233465.794500001</v>
      </c>
      <c r="C37" s="2">
        <v>12106881.4781</v>
      </c>
      <c r="D37" s="2" t="s">
        <v>5189</v>
      </c>
      <c r="E37" s="2">
        <v>1056238331.75</v>
      </c>
      <c r="F37" s="2">
        <v>120.6</v>
      </c>
      <c r="G37" s="2">
        <v>303176904</v>
      </c>
      <c r="H37" s="2">
        <v>2047903481.8699999</v>
      </c>
      <c r="I37" s="2">
        <v>1696.21829832</v>
      </c>
      <c r="J37" s="2">
        <v>1.3221115800000001</v>
      </c>
      <c r="K37" s="2">
        <v>77486</v>
      </c>
      <c r="L37" s="2">
        <v>102279911.65099999</v>
      </c>
      <c r="M37" s="2" t="s">
        <v>5190</v>
      </c>
      <c r="N37" s="2">
        <v>15.799127022</v>
      </c>
      <c r="O37" s="2">
        <v>3.7400000000000002E-6</v>
      </c>
      <c r="P37" s="2">
        <v>12689412</v>
      </c>
      <c r="Q37" s="2">
        <v>546</v>
      </c>
    </row>
    <row r="38" spans="1:17" x14ac:dyDescent="0.25">
      <c r="A38" s="1">
        <v>43572</v>
      </c>
      <c r="B38" s="2">
        <v>16709791.4219</v>
      </c>
      <c r="C38" s="2">
        <v>11762849.956</v>
      </c>
      <c r="D38" s="2" t="s">
        <v>5191</v>
      </c>
      <c r="E38" s="2">
        <v>1064235177.73</v>
      </c>
      <c r="F38" s="2">
        <v>121.54</v>
      </c>
      <c r="G38" s="2">
        <v>265842428</v>
      </c>
      <c r="H38" s="2">
        <v>2049052148.03</v>
      </c>
      <c r="I38" s="2">
        <v>1724.1779406000001</v>
      </c>
      <c r="J38" s="2">
        <v>1.35132612</v>
      </c>
      <c r="K38" s="2">
        <v>83027</v>
      </c>
      <c r="L38" s="2">
        <v>111308045.255</v>
      </c>
      <c r="M38" s="2" t="s">
        <v>5192</v>
      </c>
      <c r="N38" s="2">
        <v>13.369533693999999</v>
      </c>
      <c r="O38" s="2">
        <v>2.4099999999999998E-6</v>
      </c>
      <c r="P38" s="2">
        <v>13850294</v>
      </c>
      <c r="Q38" s="2">
        <v>555</v>
      </c>
    </row>
    <row r="39" spans="1:17" x14ac:dyDescent="0.25">
      <c r="A39" s="1">
        <v>43571</v>
      </c>
      <c r="B39" s="2">
        <v>17027954.988200001</v>
      </c>
      <c r="C39" s="2">
        <v>11853289.2272</v>
      </c>
      <c r="D39" s="2" t="s">
        <v>5193</v>
      </c>
      <c r="E39" s="2">
        <v>1044515212.04</v>
      </c>
      <c r="F39" s="2">
        <v>119.31</v>
      </c>
      <c r="G39" s="2">
        <v>304019084</v>
      </c>
      <c r="H39" s="2">
        <v>2049134682.1099999</v>
      </c>
      <c r="I39" s="2">
        <v>1690.0050444799999</v>
      </c>
      <c r="J39" s="2">
        <v>1.25351426</v>
      </c>
      <c r="K39" s="2">
        <v>73588</v>
      </c>
      <c r="L39" s="2">
        <v>102988067.568</v>
      </c>
      <c r="M39" s="2" t="s">
        <v>5194</v>
      </c>
      <c r="N39" s="2">
        <v>14.2047288492</v>
      </c>
      <c r="O39" s="2">
        <v>2.9399999999999998E-6</v>
      </c>
      <c r="P39" s="2">
        <v>11851658</v>
      </c>
      <c r="Q39" s="2">
        <v>544</v>
      </c>
    </row>
    <row r="40" spans="1:17" x14ac:dyDescent="0.25">
      <c r="A40" s="1">
        <v>43570</v>
      </c>
      <c r="B40" s="2">
        <v>23030806.503600001</v>
      </c>
      <c r="C40" s="2">
        <v>15440377.479900001</v>
      </c>
      <c r="D40" s="2" t="s">
        <v>5195</v>
      </c>
      <c r="E40" s="2">
        <v>1078623012.6199999</v>
      </c>
      <c r="F40" s="2">
        <v>123.23</v>
      </c>
      <c r="G40" s="2">
        <v>284253075</v>
      </c>
      <c r="H40" s="2">
        <v>2049244288.47</v>
      </c>
      <c r="I40" s="2">
        <v>1717.9646867599999</v>
      </c>
      <c r="J40" s="2">
        <v>1.32384864</v>
      </c>
      <c r="K40" s="2">
        <v>68593</v>
      </c>
      <c r="L40" s="2">
        <v>104847699.677</v>
      </c>
      <c r="M40" s="2" t="s">
        <v>5196</v>
      </c>
      <c r="N40" s="2">
        <v>13.7467932585</v>
      </c>
      <c r="O40" s="2">
        <v>2.7E-6</v>
      </c>
      <c r="P40" s="2">
        <v>11540663</v>
      </c>
      <c r="Q40" s="2">
        <v>553</v>
      </c>
    </row>
    <row r="41" spans="1:17" x14ac:dyDescent="0.25">
      <c r="A41" s="1">
        <v>43569</v>
      </c>
      <c r="B41" s="2">
        <v>102169507.48899999</v>
      </c>
      <c r="C41" s="2">
        <v>17280382.1818</v>
      </c>
      <c r="D41" s="2" t="s">
        <v>5197</v>
      </c>
      <c r="E41" s="2">
        <v>1051225812.9400001</v>
      </c>
      <c r="F41" s="2">
        <v>120.13</v>
      </c>
      <c r="G41" s="2">
        <v>242571615</v>
      </c>
      <c r="H41" s="2">
        <v>2049492791.3299999</v>
      </c>
      <c r="I41" s="2">
        <v>1702.4315521599999</v>
      </c>
      <c r="J41" s="2">
        <v>1.13272054</v>
      </c>
      <c r="K41" s="2">
        <v>68778</v>
      </c>
      <c r="L41" s="2">
        <v>101429996.476</v>
      </c>
      <c r="M41" s="2" t="s">
        <v>5198</v>
      </c>
      <c r="N41" s="2">
        <v>13.136799331800001</v>
      </c>
      <c r="O41" s="2">
        <v>2.7099999999999999E-6</v>
      </c>
      <c r="P41" s="2">
        <v>11819850</v>
      </c>
      <c r="Q41" s="2">
        <v>548</v>
      </c>
    </row>
    <row r="42" spans="1:17" x14ac:dyDescent="0.25">
      <c r="A42" s="1">
        <v>43568</v>
      </c>
      <c r="B42" s="2">
        <v>25810417.068700001</v>
      </c>
      <c r="C42" s="2">
        <v>14226898.953500001</v>
      </c>
      <c r="D42" s="2" t="s">
        <v>5199</v>
      </c>
      <c r="E42" s="2">
        <v>1046323449.65</v>
      </c>
      <c r="F42" s="2">
        <v>119.59</v>
      </c>
      <c r="G42" s="2">
        <v>236380649</v>
      </c>
      <c r="H42" s="2">
        <v>2049373515.6900001</v>
      </c>
      <c r="I42" s="2">
        <v>1699.3249252400001</v>
      </c>
      <c r="J42" s="2">
        <v>0.99136285999999996</v>
      </c>
      <c r="K42" s="2">
        <v>82220</v>
      </c>
      <c r="L42" s="2">
        <v>113665242.369</v>
      </c>
      <c r="M42" s="2" t="s">
        <v>5200</v>
      </c>
      <c r="N42" s="2">
        <v>14.9079925321</v>
      </c>
      <c r="O42" s="2">
        <v>2.4200000000000001E-6</v>
      </c>
      <c r="P42" s="2">
        <v>13722373</v>
      </c>
      <c r="Q42" s="2">
        <v>547</v>
      </c>
    </row>
    <row r="43" spans="1:17" x14ac:dyDescent="0.25">
      <c r="A43" s="1">
        <v>43567</v>
      </c>
      <c r="B43" s="2">
        <v>36799700.2192</v>
      </c>
      <c r="C43" s="2">
        <v>17923740.6085</v>
      </c>
      <c r="D43" s="2" t="s">
        <v>5201</v>
      </c>
      <c r="E43" s="2">
        <v>1077173135.6099999</v>
      </c>
      <c r="F43" s="2">
        <v>123.14</v>
      </c>
      <c r="G43" s="2">
        <v>269911688</v>
      </c>
      <c r="H43" s="2">
        <v>2050616844.71</v>
      </c>
      <c r="I43" s="2">
        <v>1708.644806</v>
      </c>
      <c r="J43" s="2">
        <v>1.70654303</v>
      </c>
      <c r="K43" s="2">
        <v>81152</v>
      </c>
      <c r="L43" s="2">
        <v>104349420.057</v>
      </c>
      <c r="M43" s="2" t="s">
        <v>5202</v>
      </c>
      <c r="N43" s="2">
        <v>17.239772395999999</v>
      </c>
      <c r="O43" s="2">
        <v>2.7E-6</v>
      </c>
      <c r="P43" s="2">
        <v>13634962</v>
      </c>
      <c r="Q43" s="2">
        <v>550</v>
      </c>
    </row>
    <row r="44" spans="1:17" x14ac:dyDescent="0.25">
      <c r="A44" s="1">
        <v>43566</v>
      </c>
      <c r="B44" s="2">
        <v>34115855.904799998</v>
      </c>
      <c r="C44" s="2">
        <v>17268914.239399999</v>
      </c>
      <c r="D44" s="2" t="s">
        <v>5203</v>
      </c>
      <c r="E44" s="2">
        <v>1137652121.47</v>
      </c>
      <c r="F44" s="2">
        <v>130.08000000000001</v>
      </c>
      <c r="G44" s="2">
        <v>298104060</v>
      </c>
      <c r="H44" s="2">
        <v>2056087243.1099999</v>
      </c>
      <c r="I44" s="2">
        <v>1699.3249252400001</v>
      </c>
      <c r="J44" s="2">
        <v>1.4732442400000001</v>
      </c>
      <c r="K44" s="2">
        <v>85902</v>
      </c>
      <c r="L44" s="2">
        <v>103031201.05</v>
      </c>
      <c r="M44" s="2" t="s">
        <v>5204</v>
      </c>
      <c r="N44" s="2">
        <v>22.568017569599998</v>
      </c>
      <c r="O44" s="2">
        <v>2.26E-6</v>
      </c>
      <c r="P44" s="2">
        <v>14650483</v>
      </c>
      <c r="Q44" s="2">
        <v>547</v>
      </c>
    </row>
    <row r="45" spans="1:17" x14ac:dyDescent="0.25">
      <c r="A45" s="1">
        <v>43565</v>
      </c>
      <c r="B45" s="2">
        <v>41942687.609999999</v>
      </c>
      <c r="C45" s="2">
        <v>19759814.390799999</v>
      </c>
      <c r="D45" s="2" t="s">
        <v>5205</v>
      </c>
      <c r="E45" s="2">
        <v>1157401968.4200001</v>
      </c>
      <c r="F45" s="2">
        <v>132.36000000000001</v>
      </c>
      <c r="G45" s="2">
        <v>301080748</v>
      </c>
      <c r="H45" s="2">
        <v>2058850825.71</v>
      </c>
      <c r="I45" s="2">
        <v>1733.9757624399999</v>
      </c>
      <c r="J45" s="2">
        <v>1.62868637</v>
      </c>
      <c r="K45" s="2">
        <v>120838</v>
      </c>
      <c r="L45" s="2">
        <v>105056005.956</v>
      </c>
      <c r="M45" s="2" t="s">
        <v>5206</v>
      </c>
      <c r="N45" s="2">
        <v>25.265774200799999</v>
      </c>
      <c r="O45" s="2">
        <v>2.26E-6</v>
      </c>
      <c r="P45" s="2">
        <v>19616575</v>
      </c>
      <c r="Q45" s="2">
        <v>548</v>
      </c>
    </row>
    <row r="46" spans="1:17" x14ac:dyDescent="0.25">
      <c r="A46" s="1">
        <v>43564</v>
      </c>
      <c r="B46" s="2">
        <v>32337085.403200001</v>
      </c>
      <c r="C46" s="2">
        <v>19545264.2566</v>
      </c>
      <c r="D46" s="2" t="s">
        <v>5207</v>
      </c>
      <c r="E46" s="2">
        <v>1191909372.95</v>
      </c>
      <c r="F46" s="2">
        <v>136.33000000000001</v>
      </c>
      <c r="G46" s="2">
        <v>262351291</v>
      </c>
      <c r="H46" s="2">
        <v>2059155055.3800001</v>
      </c>
      <c r="I46" s="2">
        <v>1833.3878190800001</v>
      </c>
      <c r="J46" s="2">
        <v>1.25636112</v>
      </c>
      <c r="K46" s="2">
        <v>85188</v>
      </c>
      <c r="L46" s="2">
        <v>112617075.12800001</v>
      </c>
      <c r="M46" s="2" t="s">
        <v>5208</v>
      </c>
      <c r="N46" s="2">
        <v>17.723077229000001</v>
      </c>
      <c r="O46" s="2">
        <v>2.2699999999999999E-6</v>
      </c>
      <c r="P46" s="2">
        <v>13903409</v>
      </c>
      <c r="Q46" s="2">
        <v>548</v>
      </c>
    </row>
    <row r="47" spans="1:17" x14ac:dyDescent="0.25">
      <c r="A47" s="1">
        <v>43563</v>
      </c>
      <c r="B47" s="2">
        <v>27873167.457400002</v>
      </c>
      <c r="C47" s="2">
        <v>16364671.805400001</v>
      </c>
      <c r="D47" s="2" t="s">
        <v>5209</v>
      </c>
      <c r="E47" s="2">
        <v>1182474078.5899999</v>
      </c>
      <c r="F47" s="2">
        <v>135.28</v>
      </c>
      <c r="G47" s="2">
        <v>347993408</v>
      </c>
      <c r="H47" s="2">
        <v>2062716757.6400001</v>
      </c>
      <c r="I47" s="2">
        <v>1826.69662266</v>
      </c>
      <c r="J47" s="2">
        <v>1.3987602800000001</v>
      </c>
      <c r="K47" s="2">
        <v>94311</v>
      </c>
      <c r="L47" s="2">
        <v>103239291.411</v>
      </c>
      <c r="M47" s="2" t="s">
        <v>5210</v>
      </c>
      <c r="N47" s="2">
        <v>22.997829975999998</v>
      </c>
      <c r="O47" s="2">
        <v>2.26E-6</v>
      </c>
      <c r="P47" s="2">
        <v>14360570</v>
      </c>
      <c r="Q47" s="2">
        <v>546</v>
      </c>
    </row>
    <row r="48" spans="1:17" x14ac:dyDescent="0.25">
      <c r="A48" s="1">
        <v>43562</v>
      </c>
      <c r="B48" s="2">
        <v>26184043.5101</v>
      </c>
      <c r="C48" s="2">
        <v>15464635.6414</v>
      </c>
      <c r="D48" s="2" t="s">
        <v>5211</v>
      </c>
      <c r="E48" s="2">
        <v>1143873754.46</v>
      </c>
      <c r="F48" s="2">
        <v>130.88999999999999</v>
      </c>
      <c r="G48" s="2">
        <v>390843775</v>
      </c>
      <c r="H48" s="2">
        <v>2062866269.53</v>
      </c>
      <c r="I48" s="2">
        <v>1860.15260476</v>
      </c>
      <c r="J48" s="2">
        <v>1.2714282100000001</v>
      </c>
      <c r="K48" s="2">
        <v>74706</v>
      </c>
      <c r="L48" s="2">
        <v>113863844.859</v>
      </c>
      <c r="M48" s="2" t="s">
        <v>5212</v>
      </c>
      <c r="N48" s="2">
        <v>25.316107674600001</v>
      </c>
      <c r="O48" s="2">
        <v>2.26E-6</v>
      </c>
      <c r="P48" s="2">
        <v>12093473</v>
      </c>
      <c r="Q48" s="2">
        <v>556</v>
      </c>
    </row>
    <row r="49" spans="1:17" x14ac:dyDescent="0.25">
      <c r="A49" s="1">
        <v>43561</v>
      </c>
      <c r="B49" s="2">
        <v>24099754.642099999</v>
      </c>
      <c r="C49" s="2">
        <v>16209840.969900001</v>
      </c>
      <c r="D49" s="2" t="s">
        <v>5213</v>
      </c>
      <c r="E49" s="2">
        <v>1160054757.0999999</v>
      </c>
      <c r="F49" s="2">
        <v>132.77000000000001</v>
      </c>
      <c r="G49" s="2">
        <v>276748770</v>
      </c>
      <c r="H49" s="2">
        <v>2064531579.4400001</v>
      </c>
      <c r="I49" s="2">
        <v>1836.73341729</v>
      </c>
      <c r="J49" s="2">
        <v>1.2492633900000001</v>
      </c>
      <c r="K49" s="2">
        <v>90236</v>
      </c>
      <c r="L49" s="2">
        <v>108361090.598</v>
      </c>
      <c r="M49" s="2" t="s">
        <v>5214</v>
      </c>
      <c r="N49" s="2">
        <v>23.3572024433</v>
      </c>
      <c r="O49" s="2">
        <v>2.26E-6</v>
      </c>
      <c r="P49" s="2">
        <v>14061270</v>
      </c>
      <c r="Q49" s="2">
        <v>549</v>
      </c>
    </row>
    <row r="50" spans="1:17" x14ac:dyDescent="0.25">
      <c r="A50" s="1">
        <v>43560</v>
      </c>
      <c r="B50" s="2">
        <v>113816822.23800001</v>
      </c>
      <c r="C50" s="2">
        <v>29491273.1314</v>
      </c>
      <c r="D50" s="2" t="s">
        <v>5215</v>
      </c>
      <c r="E50" s="2">
        <v>1081875444</v>
      </c>
      <c r="F50" s="2">
        <v>123.85</v>
      </c>
      <c r="G50" s="2">
        <v>304180972</v>
      </c>
      <c r="H50" s="2">
        <v>2066033253.6500001</v>
      </c>
      <c r="I50" s="2">
        <v>1833.3878190800001</v>
      </c>
      <c r="J50" s="2">
        <v>1.8546838800000001</v>
      </c>
      <c r="K50" s="2">
        <v>101377</v>
      </c>
      <c r="L50" s="2">
        <v>108052184.551</v>
      </c>
      <c r="M50" s="2" t="s">
        <v>5216</v>
      </c>
      <c r="N50" s="2">
        <v>15.0355398585</v>
      </c>
      <c r="O50" s="2">
        <v>2.26E-6</v>
      </c>
      <c r="P50" s="2">
        <v>17321003</v>
      </c>
      <c r="Q50" s="2">
        <v>548</v>
      </c>
    </row>
    <row r="51" spans="1:17" x14ac:dyDescent="0.25">
      <c r="A51" s="1">
        <v>43559</v>
      </c>
      <c r="B51" s="2">
        <v>40160555.482799999</v>
      </c>
      <c r="C51" s="2">
        <v>26350253.812600002</v>
      </c>
      <c r="D51" s="2" t="s">
        <v>5217</v>
      </c>
      <c r="E51" s="2">
        <v>1090559113.1300001</v>
      </c>
      <c r="F51" s="2">
        <v>124.87</v>
      </c>
      <c r="G51" s="2">
        <v>367863314</v>
      </c>
      <c r="H51" s="2">
        <v>2065184171.77</v>
      </c>
      <c r="I51" s="2">
        <v>1833.3878190800001</v>
      </c>
      <c r="J51" s="2">
        <v>1.7813501300000001</v>
      </c>
      <c r="K51" s="2">
        <v>123711</v>
      </c>
      <c r="L51" s="2">
        <v>97449464.754500002</v>
      </c>
      <c r="M51" s="2" t="s">
        <v>5218</v>
      </c>
      <c r="N51" s="2">
        <v>18.730687305</v>
      </c>
      <c r="O51" s="2">
        <v>2.26E-6</v>
      </c>
      <c r="P51" s="2">
        <v>20512072</v>
      </c>
      <c r="Q51" s="2">
        <v>548</v>
      </c>
    </row>
    <row r="52" spans="1:17" x14ac:dyDescent="0.25">
      <c r="A52" s="1">
        <v>43558</v>
      </c>
      <c r="B52" s="2">
        <v>71800064.087599993</v>
      </c>
      <c r="C52" s="2">
        <v>38191300.775799997</v>
      </c>
      <c r="D52" s="2" t="s">
        <v>5219</v>
      </c>
      <c r="E52" s="2">
        <v>1089067489.01</v>
      </c>
      <c r="F52" s="2">
        <v>124.73</v>
      </c>
      <c r="G52" s="2">
        <v>547500260</v>
      </c>
      <c r="H52" s="2">
        <v>2061684900.3800001</v>
      </c>
      <c r="I52" s="2">
        <v>1846.7702119200001</v>
      </c>
      <c r="J52" s="2">
        <v>2.7573885499999999</v>
      </c>
      <c r="K52" s="2">
        <v>126354</v>
      </c>
      <c r="L52" s="2">
        <v>101693208.883</v>
      </c>
      <c r="M52" s="2" t="s">
        <v>5220</v>
      </c>
      <c r="N52" s="2">
        <v>24.3301680764</v>
      </c>
      <c r="O52" s="2">
        <v>2.26E-6</v>
      </c>
      <c r="P52" s="2">
        <v>21015784</v>
      </c>
      <c r="Q52" s="2">
        <v>552</v>
      </c>
    </row>
    <row r="53" spans="1:17" x14ac:dyDescent="0.25">
      <c r="A53" s="1">
        <v>43557</v>
      </c>
      <c r="B53" s="2">
        <v>44945891.092299998</v>
      </c>
      <c r="C53" s="2">
        <v>24163372.584899999</v>
      </c>
      <c r="D53" s="2" t="s">
        <v>5221</v>
      </c>
      <c r="E53" s="2">
        <v>987059238.34500003</v>
      </c>
      <c r="F53" s="2">
        <v>113.07</v>
      </c>
      <c r="G53" s="2">
        <v>467984068</v>
      </c>
      <c r="H53" s="2">
        <v>2061775766.8699999</v>
      </c>
      <c r="I53" s="2">
        <v>8004.73664938</v>
      </c>
      <c r="J53" s="2">
        <v>2.2766263599999998</v>
      </c>
      <c r="K53" s="2">
        <v>127605</v>
      </c>
      <c r="L53" s="2">
        <v>94517256.5123</v>
      </c>
      <c r="M53" s="2" t="s">
        <v>5222</v>
      </c>
      <c r="N53" s="2">
        <v>22.204898040900002</v>
      </c>
      <c r="O53" s="2">
        <v>2.26E-6</v>
      </c>
      <c r="P53" s="2">
        <v>20329544</v>
      </c>
      <c r="Q53" s="2">
        <v>547</v>
      </c>
    </row>
    <row r="54" spans="1:17" x14ac:dyDescent="0.25">
      <c r="A54" s="1">
        <v>43556</v>
      </c>
      <c r="B54" s="2">
        <v>34559253.099699996</v>
      </c>
      <c r="C54" s="2">
        <v>23513975.961300001</v>
      </c>
      <c r="D54" s="2" t="s">
        <v>5223</v>
      </c>
      <c r="E54" s="2">
        <v>943183252.921</v>
      </c>
      <c r="F54" s="2">
        <v>108.14</v>
      </c>
      <c r="G54" s="2">
        <v>325590768</v>
      </c>
      <c r="H54" s="2">
        <v>2055300610.46</v>
      </c>
      <c r="I54" s="2">
        <v>1830.0422208699999</v>
      </c>
      <c r="J54" s="2">
        <v>2.4050197</v>
      </c>
      <c r="K54" s="2">
        <v>91559</v>
      </c>
      <c r="L54" s="2">
        <v>99103906.157800004</v>
      </c>
      <c r="M54" s="2" t="s">
        <v>5224</v>
      </c>
      <c r="N54" s="2">
        <v>23.262500413800002</v>
      </c>
      <c r="O54" s="2">
        <v>3.7400000000000002E-6</v>
      </c>
      <c r="P54" s="2">
        <v>14636205</v>
      </c>
      <c r="Q54" s="2">
        <v>547</v>
      </c>
    </row>
    <row r="55" spans="1:17" x14ac:dyDescent="0.25">
      <c r="A55" s="1">
        <v>43555</v>
      </c>
      <c r="B55" s="2">
        <v>59769046.020800002</v>
      </c>
      <c r="C55" s="2">
        <v>23108127.107999999</v>
      </c>
      <c r="D55" s="2" t="s">
        <v>5225</v>
      </c>
      <c r="E55" s="2">
        <v>871745759.352</v>
      </c>
      <c r="F55" s="2">
        <v>99.97</v>
      </c>
      <c r="G55" s="2">
        <v>307273197</v>
      </c>
      <c r="H55" s="2">
        <v>2056518531.3199999</v>
      </c>
      <c r="I55" s="2">
        <v>1830.0422208699999</v>
      </c>
      <c r="J55" s="2">
        <v>2.0724779199999999</v>
      </c>
      <c r="K55" s="2">
        <v>88614</v>
      </c>
      <c r="L55" s="2">
        <v>98864186.249300003</v>
      </c>
      <c r="M55" s="2" t="s">
        <v>5226</v>
      </c>
      <c r="N55" s="2">
        <v>12.996229960999999</v>
      </c>
      <c r="O55" s="2">
        <v>2.2699999999999999E-6</v>
      </c>
      <c r="P55" s="2">
        <v>15218656</v>
      </c>
      <c r="Q55" s="2">
        <v>547</v>
      </c>
    </row>
    <row r="56" spans="1:17" x14ac:dyDescent="0.25">
      <c r="A56" s="1">
        <v>43554</v>
      </c>
      <c r="B56" s="2">
        <v>21292558.7467</v>
      </c>
      <c r="C56" s="2">
        <v>13845699.198799999</v>
      </c>
      <c r="D56" s="2" t="s">
        <v>5227</v>
      </c>
      <c r="E56" s="2">
        <v>854053688.98099995</v>
      </c>
      <c r="F56" s="2">
        <v>97.96</v>
      </c>
      <c r="G56" s="2">
        <v>256931847</v>
      </c>
      <c r="H56" s="2">
        <v>2059068917.02</v>
      </c>
      <c r="I56" s="2">
        <v>1843.4246137099999</v>
      </c>
      <c r="J56" s="2">
        <v>1.6229324899999999</v>
      </c>
      <c r="K56" s="2">
        <v>70118</v>
      </c>
      <c r="L56" s="2">
        <v>91299371.321700007</v>
      </c>
      <c r="M56" s="2" t="s">
        <v>5228</v>
      </c>
      <c r="N56" s="2">
        <v>13.103089436399999</v>
      </c>
      <c r="O56" s="2">
        <v>3.7400000000000002E-6</v>
      </c>
      <c r="P56" s="2">
        <v>12026456</v>
      </c>
      <c r="Q56" s="2">
        <v>551</v>
      </c>
    </row>
    <row r="57" spans="1:17" x14ac:dyDescent="0.25">
      <c r="A57" s="1">
        <v>43553</v>
      </c>
      <c r="B57" s="2">
        <v>22881178.649700001</v>
      </c>
      <c r="C57" s="2">
        <v>16248303.628</v>
      </c>
      <c r="D57" s="2" t="s">
        <v>5229</v>
      </c>
      <c r="E57" s="2">
        <v>845465149.65799999</v>
      </c>
      <c r="F57" s="2">
        <v>97</v>
      </c>
      <c r="G57" s="2">
        <v>235901173</v>
      </c>
      <c r="H57" s="2">
        <v>2059139162.3299999</v>
      </c>
      <c r="I57" s="2">
        <v>1840.0790155</v>
      </c>
      <c r="J57" s="2">
        <v>2.0309497799999998</v>
      </c>
      <c r="K57" s="2">
        <v>86403</v>
      </c>
      <c r="L57" s="2">
        <v>96087782.477899998</v>
      </c>
      <c r="M57" s="2" t="s">
        <v>5230</v>
      </c>
      <c r="N57" s="2">
        <v>14.550145499999999</v>
      </c>
      <c r="O57" s="2">
        <v>3.7400000000000002E-6</v>
      </c>
      <c r="P57" s="2">
        <v>14964711</v>
      </c>
      <c r="Q57" s="2">
        <v>550</v>
      </c>
    </row>
    <row r="58" spans="1:17" x14ac:dyDescent="0.25">
      <c r="A58" s="1">
        <v>43552</v>
      </c>
      <c r="B58" s="2">
        <v>15021338.888800001</v>
      </c>
      <c r="C58" s="2">
        <v>11116001.763699999</v>
      </c>
      <c r="D58" s="2" t="s">
        <v>5231</v>
      </c>
      <c r="E58" s="2">
        <v>831706355.66700006</v>
      </c>
      <c r="F58" s="2">
        <v>95.44</v>
      </c>
      <c r="G58" s="2">
        <v>273847360</v>
      </c>
      <c r="H58" s="2">
        <v>2061048830.6700001</v>
      </c>
      <c r="I58" s="2">
        <v>1820.0054262399999</v>
      </c>
      <c r="J58" s="2">
        <v>2.4034027099999999</v>
      </c>
      <c r="K58" s="2">
        <v>62369</v>
      </c>
      <c r="L58" s="2">
        <v>94657109.611699998</v>
      </c>
      <c r="M58" s="2" t="s">
        <v>5232</v>
      </c>
      <c r="N58" s="2">
        <v>13.2216544192</v>
      </c>
      <c r="O58" s="2">
        <v>3.7400000000000002E-6</v>
      </c>
      <c r="P58" s="2">
        <v>10690095</v>
      </c>
      <c r="Q58" s="2">
        <v>544</v>
      </c>
    </row>
    <row r="59" spans="1:17" x14ac:dyDescent="0.25">
      <c r="A59" s="1">
        <v>43551</v>
      </c>
      <c r="B59" s="2">
        <v>35669114.510899998</v>
      </c>
      <c r="C59" s="2">
        <v>12862492.7686</v>
      </c>
      <c r="D59" s="2" t="s">
        <v>5233</v>
      </c>
      <c r="E59" s="2">
        <v>782894859.96700001</v>
      </c>
      <c r="F59" s="2">
        <v>89.86</v>
      </c>
      <c r="G59" s="2">
        <v>251629903</v>
      </c>
      <c r="H59" s="2">
        <v>2064993545.02</v>
      </c>
      <c r="I59" s="2">
        <v>1846.7702119200001</v>
      </c>
      <c r="J59" s="2">
        <v>2.7130041199999999</v>
      </c>
      <c r="K59" s="2">
        <v>82749</v>
      </c>
      <c r="L59" s="2">
        <v>93499939.345899999</v>
      </c>
      <c r="M59" s="2" t="s">
        <v>5234</v>
      </c>
      <c r="N59" s="2">
        <v>13.071413012000001</v>
      </c>
      <c r="O59" s="2">
        <v>3.7400000000000002E-6</v>
      </c>
      <c r="P59" s="2">
        <v>13046464</v>
      </c>
      <c r="Q59" s="2">
        <v>552</v>
      </c>
    </row>
    <row r="60" spans="1:17" x14ac:dyDescent="0.25">
      <c r="A60" s="1">
        <v>43550</v>
      </c>
      <c r="B60" s="2">
        <v>32994323.969300002</v>
      </c>
      <c r="C60" s="2">
        <v>16735287.2707</v>
      </c>
      <c r="D60" s="2" t="s">
        <v>5197</v>
      </c>
      <c r="E60" s="2">
        <v>784514427.51400006</v>
      </c>
      <c r="F60" s="2">
        <v>90.06</v>
      </c>
      <c r="G60" s="2">
        <v>260086788</v>
      </c>
      <c r="H60" s="2">
        <v>2065919194.27</v>
      </c>
      <c r="I60" s="2">
        <v>1823.3510244500001</v>
      </c>
      <c r="J60" s="2">
        <v>2.0369929600000001</v>
      </c>
      <c r="K60" s="2">
        <v>92969</v>
      </c>
      <c r="L60" s="2">
        <v>79250887.116999999</v>
      </c>
      <c r="M60" s="2" t="s">
        <v>5235</v>
      </c>
      <c r="N60" s="2">
        <v>14.409744096000001</v>
      </c>
      <c r="O60" s="2">
        <v>3.7400000000000002E-6</v>
      </c>
      <c r="P60" s="2">
        <v>12703628</v>
      </c>
      <c r="Q60" s="2">
        <v>545</v>
      </c>
    </row>
    <row r="61" spans="1:17" x14ac:dyDescent="0.25">
      <c r="A61" s="1">
        <v>43549</v>
      </c>
      <c r="B61" s="2">
        <v>508167329.26499999</v>
      </c>
      <c r="C61" s="2">
        <v>29138124.293099999</v>
      </c>
      <c r="D61" s="2" t="s">
        <v>5236</v>
      </c>
      <c r="E61" s="2">
        <v>807632995.26100004</v>
      </c>
      <c r="F61" s="2">
        <v>92.74</v>
      </c>
      <c r="G61" s="2">
        <v>272531942</v>
      </c>
      <c r="H61" s="2">
        <v>2066268900.1400001</v>
      </c>
      <c r="I61" s="2">
        <v>1826.69662266</v>
      </c>
      <c r="J61" s="2">
        <v>1.92585921</v>
      </c>
      <c r="K61" s="2">
        <v>79857</v>
      </c>
      <c r="L61" s="2">
        <v>94382655.933599994</v>
      </c>
      <c r="M61" s="2" t="s">
        <v>5237</v>
      </c>
      <c r="N61" s="2">
        <v>14.838548383999999</v>
      </c>
      <c r="O61" s="2">
        <v>3.7400000000000002E-6</v>
      </c>
      <c r="P61" s="2">
        <v>13880150</v>
      </c>
      <c r="Q61" s="2">
        <v>546</v>
      </c>
    </row>
    <row r="62" spans="1:17" x14ac:dyDescent="0.25">
      <c r="A62" s="1">
        <v>43548</v>
      </c>
      <c r="B62" s="2">
        <v>12765970.1084</v>
      </c>
      <c r="C62" s="2">
        <v>10585790.012700001</v>
      </c>
      <c r="D62" s="2" t="s">
        <v>5238</v>
      </c>
      <c r="E62" s="2">
        <v>806808054.40799999</v>
      </c>
      <c r="F62" s="2">
        <v>92.66</v>
      </c>
      <c r="G62" s="2">
        <v>263565364</v>
      </c>
      <c r="H62" s="2">
        <v>2084382116.23</v>
      </c>
      <c r="I62" s="2">
        <v>1840.0790155</v>
      </c>
      <c r="J62" s="2">
        <v>1.55855765</v>
      </c>
      <c r="K62" s="2">
        <v>86564</v>
      </c>
      <c r="L62" s="2">
        <v>96849510.037300006</v>
      </c>
      <c r="M62" s="2" t="s">
        <v>5239</v>
      </c>
      <c r="N62" s="2">
        <v>14.207643047199999</v>
      </c>
      <c r="O62" s="2">
        <v>3.7400000000000002E-6</v>
      </c>
      <c r="P62" s="2">
        <v>12869925</v>
      </c>
      <c r="Q62" s="2">
        <v>550</v>
      </c>
    </row>
    <row r="63" spans="1:17" x14ac:dyDescent="0.25">
      <c r="A63" s="1">
        <v>43547</v>
      </c>
      <c r="B63" s="2">
        <v>25225377.6325</v>
      </c>
      <c r="C63" s="2">
        <v>17287003.8473</v>
      </c>
      <c r="D63" s="2" t="s">
        <v>5240</v>
      </c>
      <c r="E63" s="2">
        <v>796410647.57099998</v>
      </c>
      <c r="F63" s="2">
        <v>91.49</v>
      </c>
      <c r="G63" s="2">
        <v>252859798</v>
      </c>
      <c r="H63" s="2">
        <v>2087429595.6800001</v>
      </c>
      <c r="I63" s="2">
        <v>1823.3510244500001</v>
      </c>
      <c r="J63" s="2">
        <v>1.2868778299999999</v>
      </c>
      <c r="K63" s="2">
        <v>60311</v>
      </c>
      <c r="L63" s="2">
        <v>93730133.887799993</v>
      </c>
      <c r="M63" s="2" t="s">
        <v>5241</v>
      </c>
      <c r="N63" s="2">
        <v>13.1361369447</v>
      </c>
      <c r="O63" s="2">
        <v>3.7400000000000002E-6</v>
      </c>
      <c r="P63" s="2">
        <v>9407488</v>
      </c>
      <c r="Q63" s="2">
        <v>545</v>
      </c>
    </row>
    <row r="64" spans="1:17" x14ac:dyDescent="0.25">
      <c r="A64" s="1">
        <v>43546</v>
      </c>
      <c r="B64" s="2">
        <v>16287145.0392</v>
      </c>
      <c r="C64" s="2">
        <v>11485153.3827</v>
      </c>
      <c r="D64" s="2" t="s">
        <v>5242</v>
      </c>
      <c r="E64" s="2">
        <v>793042214.43799996</v>
      </c>
      <c r="F64" s="2">
        <v>91.12</v>
      </c>
      <c r="G64" s="2">
        <v>327115992</v>
      </c>
      <c r="H64" s="2">
        <v>2087710193.76</v>
      </c>
      <c r="I64" s="2">
        <v>1836.73341729</v>
      </c>
      <c r="J64" s="2">
        <v>1.9751304000000001</v>
      </c>
      <c r="K64" s="2">
        <v>75083</v>
      </c>
      <c r="L64" s="2">
        <v>94663954.977200001</v>
      </c>
      <c r="M64" s="2" t="s">
        <v>5243</v>
      </c>
      <c r="N64" s="2">
        <v>13.021336850400001</v>
      </c>
      <c r="O64" s="2">
        <v>3.7400000000000002E-6</v>
      </c>
      <c r="P64" s="2">
        <v>11115199</v>
      </c>
      <c r="Q64" s="2">
        <v>549</v>
      </c>
    </row>
    <row r="65" spans="1:17" x14ac:dyDescent="0.25">
      <c r="A65" s="1">
        <v>43545</v>
      </c>
      <c r="B65" s="2">
        <v>16550308.1347</v>
      </c>
      <c r="C65" s="2">
        <v>11464476.260199999</v>
      </c>
      <c r="D65" s="2" t="s">
        <v>5244</v>
      </c>
      <c r="E65" s="2">
        <v>815853329.10899997</v>
      </c>
      <c r="F65" s="2">
        <v>93.76</v>
      </c>
      <c r="G65" s="2">
        <v>289562774</v>
      </c>
      <c r="H65" s="2">
        <v>2087324425.3099999</v>
      </c>
      <c r="I65" s="2">
        <v>1840.0790155</v>
      </c>
      <c r="J65" s="2">
        <v>1.9164430299999999</v>
      </c>
      <c r="K65" s="2">
        <v>102516</v>
      </c>
      <c r="L65" s="2">
        <v>95967057.924700007</v>
      </c>
      <c r="M65" s="2" t="s">
        <v>5245</v>
      </c>
      <c r="N65" s="2">
        <v>13.4458787616</v>
      </c>
      <c r="O65" s="2">
        <v>2.6000000000000001E-6</v>
      </c>
      <c r="P65" s="2">
        <v>15255910</v>
      </c>
      <c r="Q65" s="2">
        <v>550</v>
      </c>
    </row>
    <row r="66" spans="1:17" x14ac:dyDescent="0.25">
      <c r="A66" s="1">
        <v>43544</v>
      </c>
      <c r="B66" s="2">
        <v>17251460.799400002</v>
      </c>
      <c r="C66" s="2">
        <v>12854472.3095</v>
      </c>
      <c r="D66" s="2" t="s">
        <v>5246</v>
      </c>
      <c r="E66" s="2">
        <v>803996298.66600001</v>
      </c>
      <c r="F66" s="2">
        <v>92.42</v>
      </c>
      <c r="G66" s="2">
        <v>274517715</v>
      </c>
      <c r="H66" s="2">
        <v>2087051213.1500001</v>
      </c>
      <c r="I66" s="2">
        <v>1840.0790155</v>
      </c>
      <c r="J66" s="2">
        <v>2.4334063399999999</v>
      </c>
      <c r="K66" s="2">
        <v>88106</v>
      </c>
      <c r="L66" s="2">
        <v>93057998.581</v>
      </c>
      <c r="M66" s="2" t="s">
        <v>5247</v>
      </c>
      <c r="N66" s="2">
        <v>11.090510904</v>
      </c>
      <c r="O66" s="2">
        <v>3.7400000000000002E-6</v>
      </c>
      <c r="P66" s="2">
        <v>13817114</v>
      </c>
      <c r="Q66" s="2">
        <v>550</v>
      </c>
    </row>
    <row r="67" spans="1:17" x14ac:dyDescent="0.25">
      <c r="A67" s="1">
        <v>43543</v>
      </c>
      <c r="B67" s="2">
        <v>13507130.2892</v>
      </c>
      <c r="C67" s="2">
        <v>6571337.9055700004</v>
      </c>
      <c r="D67" s="2" t="s">
        <v>5248</v>
      </c>
      <c r="E67" s="2">
        <v>804174944.54299998</v>
      </c>
      <c r="F67" s="2">
        <v>92.46</v>
      </c>
      <c r="G67" s="2">
        <v>279417894</v>
      </c>
      <c r="H67" s="2">
        <v>2087847225.75</v>
      </c>
      <c r="I67" s="2">
        <v>1840.0790155</v>
      </c>
      <c r="J67" s="2">
        <v>1.9730641099999999</v>
      </c>
      <c r="K67" s="2">
        <v>66770</v>
      </c>
      <c r="L67" s="2">
        <v>93634543.147499993</v>
      </c>
      <c r="M67" s="2" t="s">
        <v>5249</v>
      </c>
      <c r="N67" s="2">
        <v>12.944529444</v>
      </c>
      <c r="O67" s="2">
        <v>3.7400000000000002E-6</v>
      </c>
      <c r="P67" s="2">
        <v>11144814</v>
      </c>
      <c r="Q67" s="2">
        <v>550</v>
      </c>
    </row>
    <row r="68" spans="1:17" x14ac:dyDescent="0.25">
      <c r="A68" s="1">
        <v>43542</v>
      </c>
      <c r="B68" s="2">
        <v>16849042.392700002</v>
      </c>
      <c r="C68" s="2">
        <v>11319514.855900001</v>
      </c>
      <c r="D68" s="2" t="s">
        <v>5250</v>
      </c>
      <c r="E68" s="2">
        <v>814384760.02199996</v>
      </c>
      <c r="F68" s="2">
        <v>93.65</v>
      </c>
      <c r="G68" s="2">
        <v>253632816</v>
      </c>
      <c r="H68" s="2">
        <v>2089015049.3599999</v>
      </c>
      <c r="I68" s="2">
        <v>1830.0422208699999</v>
      </c>
      <c r="J68" s="2">
        <v>2.00636349</v>
      </c>
      <c r="K68" s="2">
        <v>87187</v>
      </c>
      <c r="L68" s="2">
        <v>83994049.929399997</v>
      </c>
      <c r="M68" s="2" t="s">
        <v>5251</v>
      </c>
      <c r="N68" s="2">
        <v>13.478701741</v>
      </c>
      <c r="O68" s="2">
        <v>3.7400000000000002E-6</v>
      </c>
      <c r="P68" s="2">
        <v>14048864</v>
      </c>
      <c r="Q68" s="2">
        <v>547</v>
      </c>
    </row>
    <row r="69" spans="1:17" x14ac:dyDescent="0.25">
      <c r="A69" s="1">
        <v>43541</v>
      </c>
      <c r="B69" s="2">
        <v>13598002.952</v>
      </c>
      <c r="C69" s="2">
        <v>10803175.020500001</v>
      </c>
      <c r="D69" s="2" t="s">
        <v>5252</v>
      </c>
      <c r="E69" s="2">
        <v>808855529.70799994</v>
      </c>
      <c r="F69" s="2">
        <v>93.03</v>
      </c>
      <c r="G69" s="2">
        <v>228317131</v>
      </c>
      <c r="H69" s="2">
        <v>2087317448.1900001</v>
      </c>
      <c r="I69" s="2">
        <v>1826.69662266</v>
      </c>
      <c r="J69" s="2">
        <v>1.8430401700000001</v>
      </c>
      <c r="K69" s="2">
        <v>49328</v>
      </c>
      <c r="L69" s="2">
        <v>92206457.744399995</v>
      </c>
      <c r="M69" s="2" t="s">
        <v>5253</v>
      </c>
      <c r="N69" s="2">
        <v>13.1020261071</v>
      </c>
      <c r="O69" s="2">
        <v>3.7400000000000002E-6</v>
      </c>
      <c r="P69" s="2">
        <v>8214671</v>
      </c>
      <c r="Q69" s="2">
        <v>546</v>
      </c>
    </row>
    <row r="70" spans="1:17" x14ac:dyDescent="0.25">
      <c r="A70" s="1">
        <v>43540</v>
      </c>
      <c r="B70" s="2">
        <v>12437690.408600001</v>
      </c>
      <c r="C70" s="2">
        <v>7829150.7240300002</v>
      </c>
      <c r="D70" s="2" t="s">
        <v>5254</v>
      </c>
      <c r="E70" s="2">
        <v>789913658.72599995</v>
      </c>
      <c r="F70" s="2">
        <v>90.87</v>
      </c>
      <c r="G70" s="2">
        <v>244470262</v>
      </c>
      <c r="H70" s="2">
        <v>2087967916.9200001</v>
      </c>
      <c r="I70" s="2">
        <v>1873.5349976</v>
      </c>
      <c r="J70" s="2">
        <v>1.9004730299999999</v>
      </c>
      <c r="K70" s="2">
        <v>62508</v>
      </c>
      <c r="L70" s="2">
        <v>83426802.711799994</v>
      </c>
      <c r="M70" s="2" t="s">
        <v>5255</v>
      </c>
      <c r="N70" s="2">
        <v>10.6911408318</v>
      </c>
      <c r="O70" s="2">
        <v>3.7400000000000002E-6</v>
      </c>
      <c r="P70" s="2">
        <v>10351500</v>
      </c>
      <c r="Q70" s="2">
        <v>560</v>
      </c>
    </row>
    <row r="71" spans="1:17" x14ac:dyDescent="0.25">
      <c r="A71" s="1">
        <v>43539</v>
      </c>
      <c r="B71" s="2">
        <v>14972283.9748</v>
      </c>
      <c r="C71" s="2">
        <v>10459860.7103</v>
      </c>
      <c r="D71" s="2" t="s">
        <v>5256</v>
      </c>
      <c r="E71" s="2">
        <v>781758902.51100004</v>
      </c>
      <c r="F71" s="2">
        <v>89.96</v>
      </c>
      <c r="G71" s="2">
        <v>261122554</v>
      </c>
      <c r="H71" s="2">
        <v>2088650048.95</v>
      </c>
      <c r="I71" s="2">
        <v>1820.0054262399999</v>
      </c>
      <c r="J71" s="2">
        <v>2.4405553499999999</v>
      </c>
      <c r="K71" s="2">
        <v>65161</v>
      </c>
      <c r="L71" s="2">
        <v>78396510.436399996</v>
      </c>
      <c r="M71" s="2" t="s">
        <v>5257</v>
      </c>
      <c r="N71" s="2">
        <v>13.49413494</v>
      </c>
      <c r="O71" s="2">
        <v>3.7400000000000002E-6</v>
      </c>
      <c r="P71" s="2">
        <v>10732074</v>
      </c>
      <c r="Q71" s="2">
        <v>544</v>
      </c>
    </row>
    <row r="72" spans="1:17" x14ac:dyDescent="0.25">
      <c r="A72" s="1">
        <v>43538</v>
      </c>
      <c r="B72" s="2">
        <v>11572039.7126</v>
      </c>
      <c r="C72" s="2">
        <v>8035344.3844999997</v>
      </c>
      <c r="D72" s="2" t="s">
        <v>5258</v>
      </c>
      <c r="E72" s="2">
        <v>793196906.89499998</v>
      </c>
      <c r="F72" s="2">
        <v>91.29</v>
      </c>
      <c r="G72" s="2">
        <v>279643710</v>
      </c>
      <c r="H72" s="2">
        <v>2088026533.5799999</v>
      </c>
      <c r="I72" s="2">
        <v>1813.31422982</v>
      </c>
      <c r="J72" s="2">
        <v>1.8877911000000001</v>
      </c>
      <c r="K72" s="2">
        <v>68159</v>
      </c>
      <c r="L72" s="2">
        <v>83458684.289399996</v>
      </c>
      <c r="M72" s="2" t="s">
        <v>5259</v>
      </c>
      <c r="N72" s="2">
        <v>15.3549122712</v>
      </c>
      <c r="O72" s="2">
        <v>3.7400000000000002E-6</v>
      </c>
      <c r="P72" s="2">
        <v>10785019</v>
      </c>
      <c r="Q72" s="2">
        <v>542</v>
      </c>
    </row>
    <row r="73" spans="1:17" x14ac:dyDescent="0.25">
      <c r="A73" s="1">
        <v>43537</v>
      </c>
      <c r="B73" s="2">
        <v>20192632.859200001</v>
      </c>
      <c r="C73" s="2">
        <v>14308417.796399999</v>
      </c>
      <c r="D73" s="2" t="s">
        <v>5260</v>
      </c>
      <c r="E73" s="2">
        <v>801300859.60099995</v>
      </c>
      <c r="F73" s="2">
        <v>92.24</v>
      </c>
      <c r="G73" s="2">
        <v>286758977</v>
      </c>
      <c r="H73" s="2">
        <v>2087602732.27</v>
      </c>
      <c r="I73" s="2">
        <v>1850.11581013</v>
      </c>
      <c r="J73" s="2">
        <v>2.51701028</v>
      </c>
      <c r="K73" s="2">
        <v>60806</v>
      </c>
      <c r="L73" s="2">
        <v>91262477.735799998</v>
      </c>
      <c r="M73" s="2" t="s">
        <v>5261</v>
      </c>
      <c r="N73" s="2">
        <v>16.0835345984</v>
      </c>
      <c r="O73" s="2">
        <v>3.7400000000000002E-6</v>
      </c>
      <c r="P73" s="2">
        <v>10176562</v>
      </c>
      <c r="Q73" s="2">
        <v>553</v>
      </c>
    </row>
    <row r="74" spans="1:17" x14ac:dyDescent="0.25">
      <c r="A74" s="1">
        <v>43536</v>
      </c>
      <c r="B74" s="2">
        <v>16184866.967499999</v>
      </c>
      <c r="C74" s="2">
        <v>10940978.423699999</v>
      </c>
      <c r="D74" s="2" t="s">
        <v>5262</v>
      </c>
      <c r="E74" s="2">
        <v>731937327.06299996</v>
      </c>
      <c r="F74" s="2">
        <v>84.28</v>
      </c>
      <c r="G74" s="2">
        <v>290981988</v>
      </c>
      <c r="H74" s="2">
        <v>2087383105.26</v>
      </c>
      <c r="I74" s="2">
        <v>1843.4246137099999</v>
      </c>
      <c r="J74" s="2">
        <v>2.6935687700000002</v>
      </c>
      <c r="K74" s="2">
        <v>70094</v>
      </c>
      <c r="L74" s="2">
        <v>82612402.006999999</v>
      </c>
      <c r="M74" s="2" t="s">
        <v>5263</v>
      </c>
      <c r="N74" s="2">
        <v>13.4209553716</v>
      </c>
      <c r="O74" s="2">
        <v>3.7400000000000002E-6</v>
      </c>
      <c r="P74" s="2">
        <v>11765194</v>
      </c>
      <c r="Q74" s="2">
        <v>551</v>
      </c>
    </row>
    <row r="75" spans="1:17" x14ac:dyDescent="0.25">
      <c r="A75" s="1">
        <v>43535</v>
      </c>
      <c r="B75" s="2">
        <v>11476665.150900001</v>
      </c>
      <c r="C75" s="2">
        <v>6906771.3658499997</v>
      </c>
      <c r="D75" s="2" t="s">
        <v>5264</v>
      </c>
      <c r="E75" s="2">
        <v>728320293.65600002</v>
      </c>
      <c r="F75" s="2">
        <v>83.88</v>
      </c>
      <c r="G75" s="2">
        <v>238933542</v>
      </c>
      <c r="H75" s="2">
        <v>2087199639.8199999</v>
      </c>
      <c r="I75" s="2">
        <v>1840.0790155</v>
      </c>
      <c r="J75" s="2">
        <v>2.0198331999999999</v>
      </c>
      <c r="K75" s="2">
        <v>57674</v>
      </c>
      <c r="L75" s="2">
        <v>74667508.859699994</v>
      </c>
      <c r="M75" s="2" t="s">
        <v>5265</v>
      </c>
      <c r="N75" s="2">
        <v>13.299760321200001</v>
      </c>
      <c r="O75" s="2">
        <v>3.7400000000000002E-6</v>
      </c>
      <c r="P75" s="2">
        <v>9768321</v>
      </c>
      <c r="Q75" s="2">
        <v>550</v>
      </c>
    </row>
    <row r="76" spans="1:17" x14ac:dyDescent="0.25">
      <c r="A76" s="1">
        <v>43534</v>
      </c>
      <c r="B76" s="2">
        <v>6734251.67576</v>
      </c>
      <c r="C76" s="2">
        <v>4840928.2994600004</v>
      </c>
      <c r="D76" s="2" t="s">
        <v>5266</v>
      </c>
      <c r="E76" s="2">
        <v>732096577.13</v>
      </c>
      <c r="F76" s="2">
        <v>84.33</v>
      </c>
      <c r="G76" s="2">
        <v>242454512</v>
      </c>
      <c r="H76" s="2">
        <v>2088484214.0799999</v>
      </c>
      <c r="I76" s="2">
        <v>1830.0422208699999</v>
      </c>
      <c r="J76" s="2">
        <v>1.65803992</v>
      </c>
      <c r="K76" s="2">
        <v>53174</v>
      </c>
      <c r="L76" s="2">
        <v>75327824.1664</v>
      </c>
      <c r="M76" s="2" t="s">
        <v>5267</v>
      </c>
      <c r="N76" s="2">
        <v>9.3607236063000006</v>
      </c>
      <c r="O76" s="2">
        <v>3.7400000000000002E-6</v>
      </c>
      <c r="P76" s="2">
        <v>9010621</v>
      </c>
      <c r="Q76" s="2">
        <v>547</v>
      </c>
    </row>
    <row r="77" spans="1:17" x14ac:dyDescent="0.25">
      <c r="A77" s="1">
        <v>43533</v>
      </c>
      <c r="B77" s="2">
        <v>11479939.4034</v>
      </c>
      <c r="C77" s="2">
        <v>7905228.8139800001</v>
      </c>
      <c r="D77" s="2" t="s">
        <v>5268</v>
      </c>
      <c r="E77" s="2">
        <v>707928879.61800003</v>
      </c>
      <c r="F77" s="2">
        <v>81.56</v>
      </c>
      <c r="G77" s="2">
        <v>260715166</v>
      </c>
      <c r="H77" s="2">
        <v>2089626569.6199999</v>
      </c>
      <c r="I77" s="2">
        <v>1836.73341729</v>
      </c>
      <c r="J77" s="2">
        <v>1.8514282500000001</v>
      </c>
      <c r="K77" s="2">
        <v>64867</v>
      </c>
      <c r="L77" s="2">
        <v>83352932.281900004</v>
      </c>
      <c r="M77" s="2" t="s">
        <v>5269</v>
      </c>
      <c r="N77" s="2">
        <v>11.955049303599999</v>
      </c>
      <c r="O77" s="2">
        <v>3.7400000000000002E-6</v>
      </c>
      <c r="P77" s="2">
        <v>11029854</v>
      </c>
      <c r="Q77" s="2">
        <v>549</v>
      </c>
    </row>
    <row r="78" spans="1:17" x14ac:dyDescent="0.25">
      <c r="A78" s="1">
        <v>43532</v>
      </c>
      <c r="B78" s="2">
        <v>31247626.312100001</v>
      </c>
      <c r="C78" s="2">
        <v>8485535.82247</v>
      </c>
      <c r="D78" s="2" t="s">
        <v>5270</v>
      </c>
      <c r="E78" s="2">
        <v>726232753.64999998</v>
      </c>
      <c r="F78" s="2">
        <v>83.69</v>
      </c>
      <c r="G78" s="2">
        <v>245870485</v>
      </c>
      <c r="H78" s="2">
        <v>2090691259.7</v>
      </c>
      <c r="I78" s="2">
        <v>1823.3510244500001</v>
      </c>
      <c r="J78" s="2">
        <v>1.78520787</v>
      </c>
      <c r="K78" s="2">
        <v>62467</v>
      </c>
      <c r="L78" s="2">
        <v>81749293.766599998</v>
      </c>
      <c r="M78" s="2" t="s">
        <v>5271</v>
      </c>
      <c r="N78" s="2">
        <v>13.353693566</v>
      </c>
      <c r="O78" s="2">
        <v>3.7400000000000002E-6</v>
      </c>
      <c r="P78" s="2">
        <v>10919760</v>
      </c>
      <c r="Q78" s="2">
        <v>545</v>
      </c>
    </row>
    <row r="79" spans="1:17" x14ac:dyDescent="0.25">
      <c r="A79" s="1">
        <v>43531</v>
      </c>
      <c r="B79" s="2">
        <v>11163787.5441</v>
      </c>
      <c r="C79" s="2">
        <v>8219329.2958399998</v>
      </c>
      <c r="D79" s="2" t="s">
        <v>5272</v>
      </c>
      <c r="E79" s="2">
        <v>730036912.08599997</v>
      </c>
      <c r="F79" s="2">
        <v>84.15</v>
      </c>
      <c r="G79" s="2">
        <v>249706447</v>
      </c>
      <c r="H79" s="2">
        <v>2091858424.8499999</v>
      </c>
      <c r="I79" s="2">
        <v>1840.0790155</v>
      </c>
      <c r="J79" s="2">
        <v>2.31375083</v>
      </c>
      <c r="K79" s="2">
        <v>68621</v>
      </c>
      <c r="L79" s="2">
        <v>84537849.406200007</v>
      </c>
      <c r="M79" s="2" t="s">
        <v>5273</v>
      </c>
      <c r="N79" s="2">
        <v>13.319433666</v>
      </c>
      <c r="O79" s="2">
        <v>3.7400000000000002E-6</v>
      </c>
      <c r="P79" s="2">
        <v>11847148</v>
      </c>
      <c r="Q79" s="2">
        <v>550</v>
      </c>
    </row>
    <row r="80" spans="1:17" x14ac:dyDescent="0.25">
      <c r="A80" s="1">
        <v>43530</v>
      </c>
      <c r="B80" s="2">
        <v>15579716.9691</v>
      </c>
      <c r="C80" s="2">
        <v>10704068.119999999</v>
      </c>
      <c r="D80" s="2" t="s">
        <v>5274</v>
      </c>
      <c r="E80" s="2">
        <v>727563833.29400003</v>
      </c>
      <c r="F80" s="2">
        <v>83.88</v>
      </c>
      <c r="G80" s="2">
        <v>234883905</v>
      </c>
      <c r="H80" s="2">
        <v>2092675630.75</v>
      </c>
      <c r="I80" s="2">
        <v>1843.4246137099999</v>
      </c>
      <c r="J80" s="2">
        <v>2.23843594</v>
      </c>
      <c r="K80" s="2">
        <v>89923</v>
      </c>
      <c r="L80" s="2">
        <v>76803528.489299998</v>
      </c>
      <c r="M80" s="2" t="s">
        <v>5275</v>
      </c>
      <c r="N80" s="2">
        <v>12.5794836</v>
      </c>
      <c r="O80" s="2">
        <v>2.6000000000000001E-6</v>
      </c>
      <c r="P80" s="2">
        <v>14274443</v>
      </c>
      <c r="Q80" s="2">
        <v>551</v>
      </c>
    </row>
    <row r="81" spans="1:17" x14ac:dyDescent="0.25">
      <c r="A81" s="1">
        <v>43529</v>
      </c>
      <c r="B81" s="2">
        <v>14487819.304400001</v>
      </c>
      <c r="C81" s="2">
        <v>9869981.2965900004</v>
      </c>
      <c r="D81" s="2" t="s">
        <v>5276</v>
      </c>
      <c r="E81" s="2">
        <v>692923049.48899996</v>
      </c>
      <c r="F81" s="2">
        <v>79.900000000000006</v>
      </c>
      <c r="G81" s="2">
        <v>267697097</v>
      </c>
      <c r="H81" s="2">
        <v>2094830624.1099999</v>
      </c>
      <c r="I81" s="2">
        <v>1826.69662266</v>
      </c>
      <c r="J81" s="2">
        <v>2.0212111699999999</v>
      </c>
      <c r="K81" s="2">
        <v>75852</v>
      </c>
      <c r="L81" s="2">
        <v>81426795.232500002</v>
      </c>
      <c r="M81" s="2" t="s">
        <v>5277</v>
      </c>
      <c r="N81" s="2">
        <v>12.667393141</v>
      </c>
      <c r="O81" s="2">
        <v>3.2799999999999999E-6</v>
      </c>
      <c r="P81" s="2">
        <v>12148280</v>
      </c>
      <c r="Q81" s="2">
        <v>546</v>
      </c>
    </row>
    <row r="82" spans="1:17" x14ac:dyDescent="0.25">
      <c r="A82" s="1">
        <v>43528</v>
      </c>
      <c r="B82" s="2">
        <v>20109410.706</v>
      </c>
      <c r="C82" s="2">
        <v>10677416.228800001</v>
      </c>
      <c r="D82" s="2" t="s">
        <v>5278</v>
      </c>
      <c r="E82" s="2">
        <v>713703937.72599995</v>
      </c>
      <c r="F82" s="2">
        <v>82.32</v>
      </c>
      <c r="G82" s="2">
        <v>246707029</v>
      </c>
      <c r="H82" s="2">
        <v>2095264884.26</v>
      </c>
      <c r="I82" s="2">
        <v>1833.3878190800001</v>
      </c>
      <c r="J82" s="2">
        <v>1.2440530700000001</v>
      </c>
      <c r="K82" s="2">
        <v>87783</v>
      </c>
      <c r="L82" s="2">
        <v>78344813.019700006</v>
      </c>
      <c r="M82" s="2" t="s">
        <v>5279</v>
      </c>
      <c r="N82" s="2">
        <v>11.269434304800001</v>
      </c>
      <c r="O82" s="2">
        <v>2.2699999999999999E-6</v>
      </c>
      <c r="P82" s="2">
        <v>14255129</v>
      </c>
      <c r="Q82" s="2">
        <v>548</v>
      </c>
    </row>
    <row r="83" spans="1:17" x14ac:dyDescent="0.25">
      <c r="A83" s="1">
        <v>43527</v>
      </c>
      <c r="B83" s="2">
        <v>15434422.215500001</v>
      </c>
      <c r="C83" s="2">
        <v>10419380.694700001</v>
      </c>
      <c r="D83" s="2" t="s">
        <v>5280</v>
      </c>
      <c r="E83" s="2">
        <v>721351399.19500005</v>
      </c>
      <c r="F83" s="2">
        <v>83.21</v>
      </c>
      <c r="G83" s="2">
        <v>234980698</v>
      </c>
      <c r="H83" s="2">
        <v>2096278561.6800001</v>
      </c>
      <c r="I83" s="2">
        <v>1840.0790155</v>
      </c>
      <c r="J83" s="2">
        <v>1.34808226</v>
      </c>
      <c r="K83" s="2">
        <v>78348</v>
      </c>
      <c r="L83" s="2">
        <v>77064617.107199997</v>
      </c>
      <c r="M83" s="2" t="s">
        <v>5281</v>
      </c>
      <c r="N83" s="2">
        <v>12.481624815</v>
      </c>
      <c r="O83" s="2">
        <v>2.2699999999999999E-6</v>
      </c>
      <c r="P83" s="2">
        <v>13355478</v>
      </c>
      <c r="Q83" s="2">
        <v>550</v>
      </c>
    </row>
    <row r="84" spans="1:17" x14ac:dyDescent="0.25">
      <c r="A84" s="1">
        <v>43526</v>
      </c>
      <c r="B84" s="2">
        <v>10062996.970000001</v>
      </c>
      <c r="C84" s="2">
        <v>6901416.0492000002</v>
      </c>
      <c r="D84" s="2" t="s">
        <v>5282</v>
      </c>
      <c r="E84" s="2">
        <v>722091980.42400002</v>
      </c>
      <c r="F84" s="2">
        <v>83.32</v>
      </c>
      <c r="G84" s="2">
        <v>217459848</v>
      </c>
      <c r="H84" s="2">
        <v>2096539439.3299999</v>
      </c>
      <c r="I84" s="2">
        <v>8008.3796080100001</v>
      </c>
      <c r="J84" s="2">
        <v>2.0179179399999998</v>
      </c>
      <c r="K84" s="2">
        <v>51031</v>
      </c>
      <c r="L84" s="2">
        <v>81057823.118799999</v>
      </c>
      <c r="M84" s="2" t="s">
        <v>5283</v>
      </c>
      <c r="N84" s="2">
        <v>10.8599596284</v>
      </c>
      <c r="O84" s="2">
        <v>4.3100000000000002E-6</v>
      </c>
      <c r="P84" s="2">
        <v>9188325</v>
      </c>
      <c r="Q84" s="2">
        <v>550</v>
      </c>
    </row>
    <row r="85" spans="1:17" x14ac:dyDescent="0.25">
      <c r="A85" s="1">
        <v>43525</v>
      </c>
      <c r="B85" s="2">
        <v>26085354.361000001</v>
      </c>
      <c r="C85" s="2">
        <v>17521968.7346</v>
      </c>
      <c r="D85" s="2" t="s">
        <v>5284</v>
      </c>
      <c r="E85" s="2">
        <v>722246142.87399995</v>
      </c>
      <c r="F85" s="2">
        <v>83.41</v>
      </c>
      <c r="G85" s="2">
        <v>214590927</v>
      </c>
      <c r="H85" s="2">
        <v>2097803637.79</v>
      </c>
      <c r="I85" s="2">
        <v>1813.31422982</v>
      </c>
      <c r="J85" s="2">
        <v>2.10796925</v>
      </c>
      <c r="K85" s="2">
        <v>82662</v>
      </c>
      <c r="L85" s="2">
        <v>71810094.796100006</v>
      </c>
      <c r="M85" s="2" t="s">
        <v>5285</v>
      </c>
      <c r="N85" s="2">
        <v>12.1835001842</v>
      </c>
      <c r="O85" s="2">
        <v>2.6000000000000001E-6</v>
      </c>
      <c r="P85" s="2">
        <v>14584127</v>
      </c>
      <c r="Q85" s="2">
        <v>542</v>
      </c>
    </row>
    <row r="86" spans="1:17" x14ac:dyDescent="0.25">
      <c r="A86" s="1">
        <v>43524</v>
      </c>
      <c r="B86" s="2">
        <v>11653583.978800001</v>
      </c>
      <c r="C86" s="2">
        <v>8476762.8696400002</v>
      </c>
      <c r="D86" s="2" t="s">
        <v>5286</v>
      </c>
      <c r="E86" s="2">
        <v>713873573.18299997</v>
      </c>
      <c r="F86" s="2">
        <v>82.46</v>
      </c>
      <c r="G86" s="2">
        <v>268500969</v>
      </c>
      <c r="H86" s="2">
        <v>2098861119.6900001</v>
      </c>
      <c r="I86" s="2">
        <v>1846.7702119200001</v>
      </c>
      <c r="J86" s="2">
        <v>1.2664948599999999</v>
      </c>
      <c r="K86" s="2">
        <v>54646</v>
      </c>
      <c r="L86" s="2">
        <v>75606718.760299996</v>
      </c>
      <c r="M86" s="2" t="s">
        <v>5287</v>
      </c>
      <c r="N86" s="2">
        <v>7.9373134637999998</v>
      </c>
      <c r="O86" s="2">
        <v>3.7400000000000002E-6</v>
      </c>
      <c r="P86" s="2">
        <v>9443701</v>
      </c>
      <c r="Q86" s="2">
        <v>552</v>
      </c>
    </row>
    <row r="87" spans="1:17" x14ac:dyDescent="0.25">
      <c r="A87" s="1">
        <v>43523</v>
      </c>
      <c r="B87" s="2">
        <v>13956317.9045</v>
      </c>
      <c r="C87" s="2">
        <v>7391606.5388599997</v>
      </c>
      <c r="D87" s="2" t="s">
        <v>5288</v>
      </c>
      <c r="E87" s="2">
        <v>719939967.68499994</v>
      </c>
      <c r="F87" s="2">
        <v>83.18</v>
      </c>
      <c r="G87" s="2">
        <v>258637442</v>
      </c>
      <c r="H87" s="2">
        <v>2104594172.04</v>
      </c>
      <c r="I87" s="2">
        <v>1833.3878190800001</v>
      </c>
      <c r="J87" s="2">
        <v>2.1178877599999999</v>
      </c>
      <c r="K87" s="2">
        <v>59424</v>
      </c>
      <c r="L87" s="2">
        <v>71118136.739099994</v>
      </c>
      <c r="M87" s="2" t="s">
        <v>5289</v>
      </c>
      <c r="N87" s="2">
        <v>7.4862748620000001</v>
      </c>
      <c r="O87" s="2">
        <v>2.26E-6</v>
      </c>
      <c r="P87" s="2">
        <v>9747085</v>
      </c>
      <c r="Q87" s="2">
        <v>548</v>
      </c>
    </row>
    <row r="88" spans="1:17" x14ac:dyDescent="0.25">
      <c r="A88" s="1">
        <v>43522</v>
      </c>
      <c r="B88" s="2">
        <v>10093777.1128</v>
      </c>
      <c r="C88" s="2">
        <v>6054447.9857099997</v>
      </c>
      <c r="D88" s="2" t="s">
        <v>5290</v>
      </c>
      <c r="E88" s="2">
        <v>726602851.45200002</v>
      </c>
      <c r="F88" s="2">
        <v>83.97</v>
      </c>
      <c r="G88" s="2">
        <v>263760475</v>
      </c>
      <c r="H88" s="2">
        <v>2107893263.28</v>
      </c>
      <c r="I88" s="2">
        <v>1823.3510244500001</v>
      </c>
      <c r="J88" s="2">
        <v>2.1640068800000001</v>
      </c>
      <c r="K88" s="2">
        <v>58509</v>
      </c>
      <c r="L88" s="2">
        <v>76394666.827900007</v>
      </c>
      <c r="M88" s="2" t="s">
        <v>5291</v>
      </c>
      <c r="N88" s="2">
        <v>9.2367923669999996</v>
      </c>
      <c r="O88" s="2">
        <v>2.2699999999999999E-6</v>
      </c>
      <c r="P88" s="2">
        <v>9845815</v>
      </c>
      <c r="Q88" s="2">
        <v>545</v>
      </c>
    </row>
    <row r="89" spans="1:17" x14ac:dyDescent="0.25">
      <c r="A89" s="1">
        <v>43521</v>
      </c>
      <c r="B89" s="2">
        <v>13423240.516799999</v>
      </c>
      <c r="C89" s="2">
        <v>9970596.9220199995</v>
      </c>
      <c r="D89" s="2" t="s">
        <v>5292</v>
      </c>
      <c r="E89" s="2">
        <v>704580330.57200003</v>
      </c>
      <c r="F89" s="2">
        <v>81.44</v>
      </c>
      <c r="G89" s="2">
        <v>228964736</v>
      </c>
      <c r="H89" s="2">
        <v>2109375221.0799999</v>
      </c>
      <c r="I89" s="2">
        <v>1863.49820297</v>
      </c>
      <c r="J89" s="2">
        <v>2.19597693</v>
      </c>
      <c r="K89" s="2">
        <v>64162</v>
      </c>
      <c r="L89" s="2">
        <v>78874768.165600002</v>
      </c>
      <c r="M89" s="2" t="s">
        <v>5293</v>
      </c>
      <c r="N89" s="2">
        <v>8.9584895840000005</v>
      </c>
      <c r="O89" s="2">
        <v>3.4000000000000001E-6</v>
      </c>
      <c r="P89" s="2">
        <v>10385587</v>
      </c>
      <c r="Q89" s="2">
        <v>557</v>
      </c>
    </row>
    <row r="90" spans="1:17" x14ac:dyDescent="0.25">
      <c r="A90" s="1">
        <v>43520</v>
      </c>
      <c r="B90" s="2">
        <v>13218522.3299</v>
      </c>
      <c r="C90" s="2">
        <v>8904033.4869599994</v>
      </c>
      <c r="D90" s="2" t="s">
        <v>5294</v>
      </c>
      <c r="E90" s="2">
        <v>779534590.01800001</v>
      </c>
      <c r="F90" s="2">
        <v>90.13</v>
      </c>
      <c r="G90" s="2">
        <v>279762301</v>
      </c>
      <c r="H90" s="2">
        <v>2109919537.8599999</v>
      </c>
      <c r="I90" s="2">
        <v>1813.31422982</v>
      </c>
      <c r="J90" s="2">
        <v>3.0073848999999999</v>
      </c>
      <c r="K90" s="2">
        <v>70690</v>
      </c>
      <c r="L90" s="2">
        <v>74653238.238800004</v>
      </c>
      <c r="M90" s="2" t="s">
        <v>5295</v>
      </c>
      <c r="N90" s="2">
        <v>9.9143991430000007</v>
      </c>
      <c r="O90" s="2">
        <v>2.26E-6</v>
      </c>
      <c r="P90" s="2">
        <v>11455288</v>
      </c>
      <c r="Q90" s="2">
        <v>542</v>
      </c>
    </row>
    <row r="91" spans="1:17" x14ac:dyDescent="0.25">
      <c r="A91" s="1">
        <v>43519</v>
      </c>
      <c r="B91" s="2">
        <v>12756190.322000001</v>
      </c>
      <c r="C91" s="2">
        <v>7768625.0323999999</v>
      </c>
      <c r="D91" s="2" t="s">
        <v>5296</v>
      </c>
      <c r="E91" s="2">
        <v>749498788.54200006</v>
      </c>
      <c r="F91" s="2">
        <v>86.67</v>
      </c>
      <c r="G91" s="2">
        <v>250962022</v>
      </c>
      <c r="H91" s="2">
        <v>2111394440.5999999</v>
      </c>
      <c r="I91" s="2">
        <v>1833.3878190800001</v>
      </c>
      <c r="J91" s="2">
        <v>2.1616362800000002</v>
      </c>
      <c r="K91" s="2">
        <v>78873</v>
      </c>
      <c r="L91" s="2">
        <v>77532672.410799995</v>
      </c>
      <c r="M91" s="2" t="s">
        <v>5297</v>
      </c>
      <c r="N91" s="2">
        <v>11.267212670999999</v>
      </c>
      <c r="O91" s="2">
        <v>2.26E-6</v>
      </c>
      <c r="P91" s="2">
        <v>12612278</v>
      </c>
      <c r="Q91" s="2">
        <v>548</v>
      </c>
    </row>
    <row r="92" spans="1:17" x14ac:dyDescent="0.25">
      <c r="A92" s="1">
        <v>43518</v>
      </c>
      <c r="B92" s="2">
        <v>13426988.9837</v>
      </c>
      <c r="C92" s="2">
        <v>8652866.4463100005</v>
      </c>
      <c r="D92" s="2" t="s">
        <v>5298</v>
      </c>
      <c r="E92" s="2">
        <v>740118380.39600003</v>
      </c>
      <c r="F92" s="2">
        <v>85.6</v>
      </c>
      <c r="G92" s="2">
        <v>245055088</v>
      </c>
      <c r="H92" s="2">
        <v>2111382741.77</v>
      </c>
      <c r="I92" s="2">
        <v>1846.7702119200001</v>
      </c>
      <c r="J92" s="2">
        <v>2.3418510600000002</v>
      </c>
      <c r="K92" s="2">
        <v>90538</v>
      </c>
      <c r="L92" s="2">
        <v>79504842.497500002</v>
      </c>
      <c r="M92" s="2" t="s">
        <v>5299</v>
      </c>
      <c r="N92" s="2">
        <v>11.318085928</v>
      </c>
      <c r="O92" s="2">
        <v>2.48E-6</v>
      </c>
      <c r="P92" s="2">
        <v>14358338</v>
      </c>
      <c r="Q92" s="2">
        <v>552</v>
      </c>
    </row>
    <row r="93" spans="1:17" x14ac:dyDescent="0.25">
      <c r="A93" s="1">
        <v>43517</v>
      </c>
      <c r="B93" s="2">
        <v>12108455.846799999</v>
      </c>
      <c r="C93" s="2">
        <v>7148170.45352</v>
      </c>
      <c r="D93" s="2" t="s">
        <v>5300</v>
      </c>
      <c r="E93" s="2">
        <v>760372339.77999997</v>
      </c>
      <c r="F93" s="2">
        <v>87.97</v>
      </c>
      <c r="G93" s="2">
        <v>236314511</v>
      </c>
      <c r="H93" s="2">
        <v>2112483867.75</v>
      </c>
      <c r="I93" s="2">
        <v>1816.65982803</v>
      </c>
      <c r="J93" s="2">
        <v>2.0308181900000002</v>
      </c>
      <c r="K93" s="2">
        <v>90355</v>
      </c>
      <c r="L93" s="2">
        <v>76412369.345599994</v>
      </c>
      <c r="M93" s="2" t="s">
        <v>5301</v>
      </c>
      <c r="N93" s="2">
        <v>13.168682345500001</v>
      </c>
      <c r="O93" s="2">
        <v>2.26E-6</v>
      </c>
      <c r="P93" s="2">
        <v>14560417</v>
      </c>
      <c r="Q93" s="2">
        <v>543</v>
      </c>
    </row>
    <row r="94" spans="1:17" x14ac:dyDescent="0.25">
      <c r="A94" s="1">
        <v>43516</v>
      </c>
      <c r="B94" s="2">
        <v>14074590.596799999</v>
      </c>
      <c r="C94" s="2">
        <v>9258704.6824299991</v>
      </c>
      <c r="D94" s="2" t="s">
        <v>5302</v>
      </c>
      <c r="E94" s="2">
        <v>762417148.95899999</v>
      </c>
      <c r="F94" s="2">
        <v>88.22</v>
      </c>
      <c r="G94" s="2">
        <v>260540777</v>
      </c>
      <c r="H94" s="2">
        <v>2112960630.3099999</v>
      </c>
      <c r="I94" s="2">
        <v>1840.0790155</v>
      </c>
      <c r="J94" s="2">
        <v>2.3817486799999998</v>
      </c>
      <c r="K94" s="2">
        <v>80791</v>
      </c>
      <c r="L94" s="2">
        <v>71506004.914100006</v>
      </c>
      <c r="M94" s="2" t="s">
        <v>5303</v>
      </c>
      <c r="N94" s="2">
        <v>10.586505863999999</v>
      </c>
      <c r="O94" s="2">
        <v>3.2100000000000002E-6</v>
      </c>
      <c r="P94" s="2">
        <v>12558586</v>
      </c>
      <c r="Q94" s="2">
        <v>550</v>
      </c>
    </row>
    <row r="95" spans="1:17" x14ac:dyDescent="0.25">
      <c r="A95" s="1">
        <v>43515</v>
      </c>
      <c r="B95" s="2">
        <v>20580839.912700001</v>
      </c>
      <c r="C95" s="2">
        <v>10715356.845799999</v>
      </c>
      <c r="D95" s="2" t="s">
        <v>5304</v>
      </c>
      <c r="E95" s="2">
        <v>748572213.15499997</v>
      </c>
      <c r="F95" s="2">
        <v>86.64</v>
      </c>
      <c r="G95" s="2">
        <v>285735176</v>
      </c>
      <c r="H95" s="2">
        <v>2113841857.8900001</v>
      </c>
      <c r="I95" s="2">
        <v>1850.11581013</v>
      </c>
      <c r="J95" s="2">
        <v>2.8392001800000002</v>
      </c>
      <c r="K95" s="2">
        <v>87410</v>
      </c>
      <c r="L95" s="2">
        <v>73206799.283600003</v>
      </c>
      <c r="M95" s="2" t="s">
        <v>5305</v>
      </c>
      <c r="N95" s="2">
        <v>8.6640866400000007</v>
      </c>
      <c r="O95" s="2">
        <v>2.2699999999999999E-6</v>
      </c>
      <c r="P95" s="2">
        <v>13893750</v>
      </c>
      <c r="Q95" s="2">
        <v>553</v>
      </c>
    </row>
    <row r="96" spans="1:17" x14ac:dyDescent="0.25">
      <c r="A96" s="1">
        <v>43514</v>
      </c>
      <c r="B96" s="2">
        <v>21351378.917599998</v>
      </c>
      <c r="C96" s="2">
        <v>13742517.58</v>
      </c>
      <c r="D96" s="2" t="s">
        <v>5306</v>
      </c>
      <c r="E96" s="2">
        <v>688848296.40199995</v>
      </c>
      <c r="F96" s="2">
        <v>79.739999999999995</v>
      </c>
      <c r="G96" s="2">
        <v>289853373</v>
      </c>
      <c r="H96" s="2">
        <v>2114048758.6099999</v>
      </c>
      <c r="I96" s="2">
        <v>1820.0054262399999</v>
      </c>
      <c r="J96" s="2">
        <v>2.7709861299999998</v>
      </c>
      <c r="K96" s="2">
        <v>95273</v>
      </c>
      <c r="L96" s="2">
        <v>78698009.427200004</v>
      </c>
      <c r="M96" s="2" t="s">
        <v>5307</v>
      </c>
      <c r="N96" s="2">
        <v>8.7714877139999992</v>
      </c>
      <c r="O96" s="2">
        <v>3.7400000000000002E-6</v>
      </c>
      <c r="P96" s="2">
        <v>12631740</v>
      </c>
      <c r="Q96" s="2">
        <v>544</v>
      </c>
    </row>
    <row r="97" spans="1:17" x14ac:dyDescent="0.25">
      <c r="A97" s="1">
        <v>43513</v>
      </c>
      <c r="B97" s="2">
        <v>10574534.610400001</v>
      </c>
      <c r="C97" s="2">
        <v>6615328.6109800003</v>
      </c>
      <c r="D97" s="2" t="s">
        <v>5308</v>
      </c>
      <c r="E97" s="2">
        <v>688099131.70200002</v>
      </c>
      <c r="F97" s="2">
        <v>79.67</v>
      </c>
      <c r="G97" s="2">
        <v>206403616</v>
      </c>
      <c r="H97" s="2">
        <v>2115042070.1800001</v>
      </c>
      <c r="I97" s="2">
        <v>1856.8070065500001</v>
      </c>
      <c r="J97" s="2">
        <v>1.79758142</v>
      </c>
      <c r="K97" s="2">
        <v>68455</v>
      </c>
      <c r="L97" s="2">
        <v>78151928.765599996</v>
      </c>
      <c r="M97" s="2" t="s">
        <v>5309</v>
      </c>
      <c r="N97" s="2">
        <v>6.2179025124000002</v>
      </c>
      <c r="O97" s="2">
        <v>2.6000000000000001E-6</v>
      </c>
      <c r="P97" s="2">
        <v>10696616</v>
      </c>
      <c r="Q97" s="2">
        <v>555</v>
      </c>
    </row>
    <row r="98" spans="1:17" x14ac:dyDescent="0.25">
      <c r="A98" s="1">
        <v>43512</v>
      </c>
      <c r="B98" s="2">
        <v>7871977.2097500004</v>
      </c>
      <c r="C98" s="2">
        <v>6430521.1918700002</v>
      </c>
      <c r="D98" s="2" t="s">
        <v>5310</v>
      </c>
      <c r="E98" s="2">
        <v>683159527.81400001</v>
      </c>
      <c r="F98" s="2">
        <v>79.12</v>
      </c>
      <c r="G98" s="2">
        <v>193025119</v>
      </c>
      <c r="H98" s="2">
        <v>2115502277.1199999</v>
      </c>
      <c r="I98" s="2">
        <v>1823.3510244500001</v>
      </c>
      <c r="J98" s="2">
        <v>2.0672201600000002</v>
      </c>
      <c r="K98" s="2">
        <v>61348</v>
      </c>
      <c r="L98" s="2">
        <v>76751487.096599996</v>
      </c>
      <c r="M98" s="2" t="s">
        <v>5311</v>
      </c>
      <c r="N98" s="2">
        <v>7.8254355992000004</v>
      </c>
      <c r="O98" s="2">
        <v>3.7400000000000002E-6</v>
      </c>
      <c r="P98" s="2">
        <v>9369740</v>
      </c>
      <c r="Q98" s="2">
        <v>545</v>
      </c>
    </row>
    <row r="99" spans="1:17" x14ac:dyDescent="0.25">
      <c r="A99" s="1">
        <v>43511</v>
      </c>
      <c r="B99" s="2">
        <v>14270101.248199999</v>
      </c>
      <c r="C99" s="2">
        <v>8665544.8503699992</v>
      </c>
      <c r="D99" s="2" t="s">
        <v>5312</v>
      </c>
      <c r="E99" s="2">
        <v>678387282.44400001</v>
      </c>
      <c r="F99" s="2">
        <v>78.58</v>
      </c>
      <c r="G99" s="2">
        <v>215175325</v>
      </c>
      <c r="H99" s="2">
        <v>2115697860.21</v>
      </c>
      <c r="I99" s="2">
        <v>1833.3878190800001</v>
      </c>
      <c r="J99" s="2">
        <v>1.91505952</v>
      </c>
      <c r="K99" s="2">
        <v>75555</v>
      </c>
      <c r="L99" s="2">
        <v>74810163.434699997</v>
      </c>
      <c r="M99" s="2" t="s">
        <v>5313</v>
      </c>
      <c r="N99" s="2">
        <v>8.6438864379999991</v>
      </c>
      <c r="O99" s="2">
        <v>3.7400000000000002E-6</v>
      </c>
      <c r="P99" s="2">
        <v>11293824</v>
      </c>
      <c r="Q99" s="2">
        <v>548</v>
      </c>
    </row>
    <row r="100" spans="1:17" x14ac:dyDescent="0.25">
      <c r="A100" s="1">
        <v>43510</v>
      </c>
      <c r="B100" s="2">
        <v>15889193.960100001</v>
      </c>
      <c r="C100" s="2">
        <v>12163181.083000001</v>
      </c>
      <c r="D100" s="2" t="s">
        <v>5314</v>
      </c>
      <c r="E100" s="2">
        <v>695487960.63399994</v>
      </c>
      <c r="F100" s="2">
        <v>80.58</v>
      </c>
      <c r="G100" s="2">
        <v>196698077</v>
      </c>
      <c r="H100" s="2">
        <v>2117498270.0699999</v>
      </c>
      <c r="I100" s="2">
        <v>1836.73341729</v>
      </c>
      <c r="J100" s="2">
        <v>2.5438819800000001</v>
      </c>
      <c r="K100" s="2">
        <v>68425</v>
      </c>
      <c r="L100" s="2">
        <v>75666535.571799994</v>
      </c>
      <c r="M100" s="2" t="s">
        <v>5315</v>
      </c>
      <c r="N100" s="2">
        <v>7.9925996603999998</v>
      </c>
      <c r="O100" s="2">
        <v>3.7400000000000002E-6</v>
      </c>
      <c r="P100" s="2">
        <v>10822354</v>
      </c>
      <c r="Q100" s="2">
        <v>549</v>
      </c>
    </row>
    <row r="101" spans="1:17" x14ac:dyDescent="0.25">
      <c r="A101" s="1">
        <v>43509</v>
      </c>
      <c r="B101" s="2">
        <v>21942640.028499998</v>
      </c>
      <c r="C101" s="2">
        <v>13303168.639</v>
      </c>
      <c r="D101" s="2" t="s">
        <v>5316</v>
      </c>
      <c r="E101" s="2">
        <v>713836315.90900004</v>
      </c>
      <c r="F101" s="2">
        <v>82.72</v>
      </c>
      <c r="G101" s="2">
        <v>215409826</v>
      </c>
      <c r="H101" s="2">
        <v>2117741723.28</v>
      </c>
      <c r="I101" s="2">
        <v>1843.4246137099999</v>
      </c>
      <c r="J101" s="2">
        <v>2.4995054099999998</v>
      </c>
      <c r="K101" s="2">
        <v>73610</v>
      </c>
      <c r="L101" s="2">
        <v>71159614.815099999</v>
      </c>
      <c r="M101" s="2" t="s">
        <v>5317</v>
      </c>
      <c r="N101" s="2">
        <v>9.0992909920000002</v>
      </c>
      <c r="O101" s="2">
        <v>3.7400000000000002E-6</v>
      </c>
      <c r="P101" s="2">
        <v>11464261</v>
      </c>
      <c r="Q101" s="2">
        <v>551</v>
      </c>
    </row>
    <row r="102" spans="1:17" x14ac:dyDescent="0.25">
      <c r="A102" s="1">
        <v>43508</v>
      </c>
      <c r="B102" s="2">
        <v>22668132.0801</v>
      </c>
      <c r="C102" s="2">
        <v>15718329.7117</v>
      </c>
      <c r="D102" s="2" t="s">
        <v>5318</v>
      </c>
      <c r="E102" s="2">
        <v>691973264.88699996</v>
      </c>
      <c r="F102" s="2">
        <v>80.209999999999994</v>
      </c>
      <c r="G102" s="2">
        <v>236892784</v>
      </c>
      <c r="H102" s="2">
        <v>2119579746.54</v>
      </c>
      <c r="I102" s="2">
        <v>1809.9686316100001</v>
      </c>
      <c r="J102" s="2">
        <v>3.03060113</v>
      </c>
      <c r="K102" s="2">
        <v>90500</v>
      </c>
      <c r="L102" s="2">
        <v>70407595.281499997</v>
      </c>
      <c r="M102" s="2" t="s">
        <v>5319</v>
      </c>
      <c r="N102" s="2">
        <v>8.8231882309999996</v>
      </c>
      <c r="O102" s="2">
        <v>2.4099999999999998E-6</v>
      </c>
      <c r="P102" s="2">
        <v>14024914</v>
      </c>
      <c r="Q102" s="2">
        <v>541</v>
      </c>
    </row>
    <row r="103" spans="1:17" x14ac:dyDescent="0.25">
      <c r="A103" s="1">
        <v>43507</v>
      </c>
      <c r="B103" s="2">
        <v>13972816.3967</v>
      </c>
      <c r="C103" s="2">
        <v>10555861.075300001</v>
      </c>
      <c r="D103" s="2" t="s">
        <v>5320</v>
      </c>
      <c r="E103" s="2">
        <v>651414989.41299999</v>
      </c>
      <c r="F103" s="2">
        <v>75.52</v>
      </c>
      <c r="G103" s="2">
        <v>227879067</v>
      </c>
      <c r="H103" s="2">
        <v>2120122475.1700001</v>
      </c>
      <c r="I103" s="2">
        <v>1846.7702119200001</v>
      </c>
      <c r="J103" s="2">
        <v>3.1756566300000002</v>
      </c>
      <c r="K103" s="2">
        <v>95720</v>
      </c>
      <c r="L103" s="2">
        <v>75077695.491799995</v>
      </c>
      <c r="M103" s="2" t="s">
        <v>5321</v>
      </c>
      <c r="N103" s="2">
        <v>8.3072830720000006</v>
      </c>
      <c r="O103" s="2">
        <v>2.5000000000000002E-6</v>
      </c>
      <c r="P103" s="2">
        <v>13575187</v>
      </c>
      <c r="Q103" s="2">
        <v>552</v>
      </c>
    </row>
    <row r="104" spans="1:17" x14ac:dyDescent="0.25">
      <c r="A104" s="1">
        <v>43506</v>
      </c>
      <c r="B104" s="2">
        <v>11368703.013800001</v>
      </c>
      <c r="C104" s="2">
        <v>8002844.0622300003</v>
      </c>
      <c r="D104" s="2" t="s">
        <v>5322</v>
      </c>
      <c r="E104" s="2">
        <v>640200595.53100002</v>
      </c>
      <c r="F104" s="2">
        <v>74.239999999999995</v>
      </c>
      <c r="G104" s="2">
        <v>177539073</v>
      </c>
      <c r="H104" s="2">
        <v>2120656434.6400001</v>
      </c>
      <c r="I104" s="2">
        <v>1833.3878190800001</v>
      </c>
      <c r="J104" s="2">
        <v>1.5452773900000001</v>
      </c>
      <c r="K104" s="2">
        <v>90469</v>
      </c>
      <c r="L104" s="2">
        <v>75307581.978200004</v>
      </c>
      <c r="M104" s="2" t="s">
        <v>5323</v>
      </c>
      <c r="N104" s="2">
        <v>8.1664816640000009</v>
      </c>
      <c r="O104" s="2">
        <v>2.6000000000000001E-6</v>
      </c>
      <c r="P104" s="2">
        <v>13766217</v>
      </c>
      <c r="Q104" s="2">
        <v>548</v>
      </c>
    </row>
    <row r="105" spans="1:17" x14ac:dyDescent="0.25">
      <c r="A105" s="1">
        <v>43505</v>
      </c>
      <c r="B105" s="2">
        <v>12423503.1731</v>
      </c>
      <c r="C105" s="2">
        <v>10273781.614600001</v>
      </c>
      <c r="D105" s="2" t="s">
        <v>5324</v>
      </c>
      <c r="E105" s="2">
        <v>636835239.26800001</v>
      </c>
      <c r="F105" s="2">
        <v>73.86</v>
      </c>
      <c r="G105" s="2">
        <v>169940905</v>
      </c>
      <c r="H105" s="2">
        <v>2121968745.8699999</v>
      </c>
      <c r="I105" s="2">
        <v>1836.73341729</v>
      </c>
      <c r="J105" s="2">
        <v>2.3318405900000001</v>
      </c>
      <c r="K105" s="2">
        <v>66067</v>
      </c>
      <c r="L105" s="2">
        <v>73719518.239199996</v>
      </c>
      <c r="M105" s="2" t="s">
        <v>5325</v>
      </c>
      <c r="N105" s="2">
        <v>9.6018960179999997</v>
      </c>
      <c r="O105" s="2">
        <v>3.7400000000000002E-6</v>
      </c>
      <c r="P105" s="2">
        <v>10291605</v>
      </c>
      <c r="Q105" s="2">
        <v>549</v>
      </c>
    </row>
    <row r="106" spans="1:17" x14ac:dyDescent="0.25">
      <c r="A106" s="1">
        <v>43504</v>
      </c>
      <c r="B106" s="2">
        <v>13996120.446</v>
      </c>
      <c r="C106" s="2">
        <v>9757393.1258700006</v>
      </c>
      <c r="D106" s="2" t="s">
        <v>5326</v>
      </c>
      <c r="E106" s="2">
        <v>579820810.08299994</v>
      </c>
      <c r="F106" s="2">
        <v>67.260000000000005</v>
      </c>
      <c r="G106" s="2">
        <v>181160600</v>
      </c>
      <c r="H106" s="2">
        <v>2122857669.1400001</v>
      </c>
      <c r="I106" s="2">
        <v>1823.3510244500001</v>
      </c>
      <c r="J106" s="2">
        <v>2.53247161</v>
      </c>
      <c r="K106" s="2">
        <v>75556</v>
      </c>
      <c r="L106" s="2">
        <v>78975333.8847</v>
      </c>
      <c r="M106" s="2" t="s">
        <v>5327</v>
      </c>
      <c r="N106" s="2">
        <v>7.9338153966</v>
      </c>
      <c r="O106" s="2">
        <v>3.7400000000000002E-6</v>
      </c>
      <c r="P106" s="2">
        <v>12227631</v>
      </c>
      <c r="Q106" s="2">
        <v>545</v>
      </c>
    </row>
    <row r="107" spans="1:17" x14ac:dyDescent="0.25">
      <c r="A107" s="1">
        <v>43503</v>
      </c>
      <c r="B107" s="2">
        <v>12881223.408299999</v>
      </c>
      <c r="C107" s="2">
        <v>9197728.4407400005</v>
      </c>
      <c r="D107" s="2" t="s">
        <v>5328</v>
      </c>
      <c r="E107" s="2">
        <v>566656561.87399995</v>
      </c>
      <c r="F107" s="2">
        <v>65.75</v>
      </c>
      <c r="G107" s="2">
        <v>151346662</v>
      </c>
      <c r="H107" s="2">
        <v>2122648875.6600001</v>
      </c>
      <c r="I107" s="2">
        <v>1853.4614083399999</v>
      </c>
      <c r="J107" s="2">
        <v>1.79883897</v>
      </c>
      <c r="K107" s="2">
        <v>97267</v>
      </c>
      <c r="L107" s="2">
        <v>70076122.914499998</v>
      </c>
      <c r="M107" s="2" t="s">
        <v>5329</v>
      </c>
      <c r="N107" s="2">
        <v>5.957335295</v>
      </c>
      <c r="O107" s="2">
        <v>2.26E-6</v>
      </c>
      <c r="P107" s="2">
        <v>14073881</v>
      </c>
      <c r="Q107" s="2">
        <v>554</v>
      </c>
    </row>
    <row r="108" spans="1:17" x14ac:dyDescent="0.25">
      <c r="A108" s="1">
        <v>43502</v>
      </c>
      <c r="B108" s="2">
        <v>16116860.5801</v>
      </c>
      <c r="C108" s="2">
        <v>10198787.1653</v>
      </c>
      <c r="D108" s="2" t="s">
        <v>5330</v>
      </c>
      <c r="E108" s="2">
        <v>588840438.05799997</v>
      </c>
      <c r="F108" s="2">
        <v>68.34</v>
      </c>
      <c r="G108" s="2">
        <v>188686597</v>
      </c>
      <c r="H108" s="2">
        <v>2124356678.6900001</v>
      </c>
      <c r="I108" s="2">
        <v>1836.73341729</v>
      </c>
      <c r="J108" s="2">
        <v>2.11932046</v>
      </c>
      <c r="K108" s="2">
        <v>113410</v>
      </c>
      <c r="L108" s="2">
        <v>71617462.8847</v>
      </c>
      <c r="M108" s="2" t="s">
        <v>5331</v>
      </c>
      <c r="N108" s="2">
        <v>8.2008820080000007</v>
      </c>
      <c r="O108" s="2">
        <v>2.26E-6</v>
      </c>
      <c r="P108" s="2">
        <v>16058957</v>
      </c>
      <c r="Q108" s="2">
        <v>549</v>
      </c>
    </row>
    <row r="109" spans="1:17" x14ac:dyDescent="0.25">
      <c r="A109" s="1">
        <v>43501</v>
      </c>
      <c r="B109" s="2">
        <v>8510678.6263299994</v>
      </c>
      <c r="C109" s="2">
        <v>6713991.7531000003</v>
      </c>
      <c r="D109" s="2" t="s">
        <v>5332</v>
      </c>
      <c r="E109" s="2">
        <v>575887343.86199999</v>
      </c>
      <c r="F109" s="2">
        <v>66.849999999999994</v>
      </c>
      <c r="G109" s="2">
        <v>159410275</v>
      </c>
      <c r="H109" s="2">
        <v>2127944881.27</v>
      </c>
      <c r="I109" s="2">
        <v>1796.5862387699999</v>
      </c>
      <c r="J109" s="2">
        <v>1.9462453200000001</v>
      </c>
      <c r="K109" s="2">
        <v>111097</v>
      </c>
      <c r="L109" s="2">
        <v>75228464.714200005</v>
      </c>
      <c r="M109" s="2" t="s">
        <v>5333</v>
      </c>
      <c r="N109" s="2">
        <v>8.0220802199999994</v>
      </c>
      <c r="O109" s="2">
        <v>2.2699999999999999E-6</v>
      </c>
      <c r="P109" s="2">
        <v>14079583</v>
      </c>
      <c r="Q109" s="2">
        <v>537</v>
      </c>
    </row>
    <row r="110" spans="1:17" x14ac:dyDescent="0.25">
      <c r="A110" s="1">
        <v>43500</v>
      </c>
      <c r="B110" s="2">
        <v>7590865.4031499997</v>
      </c>
      <c r="C110" s="2">
        <v>5367400.0155600002</v>
      </c>
      <c r="D110" s="2" t="s">
        <v>5334</v>
      </c>
      <c r="E110" s="2">
        <v>577345808.449</v>
      </c>
      <c r="F110" s="2">
        <v>67.03</v>
      </c>
      <c r="G110" s="2">
        <v>158567871</v>
      </c>
      <c r="H110" s="2">
        <v>2128772093.53</v>
      </c>
      <c r="I110" s="2">
        <v>1876.8805958099999</v>
      </c>
      <c r="J110" s="2">
        <v>1.86373893</v>
      </c>
      <c r="K110" s="2">
        <v>81256</v>
      </c>
      <c r="L110" s="2">
        <v>70391260.441400006</v>
      </c>
      <c r="M110" s="2" t="s">
        <v>5335</v>
      </c>
      <c r="N110" s="2">
        <v>8.0677515792999994</v>
      </c>
      <c r="O110" s="2">
        <v>2.26E-6</v>
      </c>
      <c r="P110" s="2">
        <v>11868527</v>
      </c>
      <c r="Q110" s="2">
        <v>561</v>
      </c>
    </row>
    <row r="111" spans="1:17" x14ac:dyDescent="0.25">
      <c r="A111" s="1">
        <v>43499</v>
      </c>
      <c r="B111" s="2">
        <v>7854303.0581700001</v>
      </c>
      <c r="C111" s="2">
        <v>5871721.48716</v>
      </c>
      <c r="D111" s="2" t="s">
        <v>5336</v>
      </c>
      <c r="E111" s="2">
        <v>585424786.15999997</v>
      </c>
      <c r="F111" s="2">
        <v>67.989999999999995</v>
      </c>
      <c r="G111" s="2">
        <v>161289431</v>
      </c>
      <c r="H111" s="2">
        <v>2130718875.55</v>
      </c>
      <c r="I111" s="2">
        <v>1813.31422982</v>
      </c>
      <c r="J111" s="2">
        <v>2.0075623399999998</v>
      </c>
      <c r="K111" s="2">
        <v>71986</v>
      </c>
      <c r="L111" s="2">
        <v>64108953.408500001</v>
      </c>
      <c r="M111" s="2" t="s">
        <v>5337</v>
      </c>
      <c r="N111" s="2">
        <v>6.1433819486000001</v>
      </c>
      <c r="O111" s="2">
        <v>2.7E-6</v>
      </c>
      <c r="P111" s="2">
        <v>10409755</v>
      </c>
      <c r="Q111" s="2">
        <v>542</v>
      </c>
    </row>
    <row r="112" spans="1:17" x14ac:dyDescent="0.25">
      <c r="A112" s="1">
        <v>43498</v>
      </c>
      <c r="B112" s="2">
        <v>8432922.6968499999</v>
      </c>
      <c r="C112" s="2">
        <v>5322780.87005</v>
      </c>
      <c r="D112" s="2" t="s">
        <v>5338</v>
      </c>
      <c r="E112" s="2">
        <v>580207597.73399997</v>
      </c>
      <c r="F112" s="2">
        <v>67.39</v>
      </c>
      <c r="G112" s="2">
        <v>152279085</v>
      </c>
      <c r="H112" s="2">
        <v>2132173504.74</v>
      </c>
      <c r="I112" s="2">
        <v>1843.4246137099999</v>
      </c>
      <c r="J112" s="2">
        <v>2.06506268</v>
      </c>
      <c r="K112" s="2">
        <v>91685</v>
      </c>
      <c r="L112" s="2">
        <v>64367338.232100002</v>
      </c>
      <c r="M112" s="2" t="s">
        <v>5339</v>
      </c>
      <c r="N112" s="2">
        <v>8.1514539660000001</v>
      </c>
      <c r="O112" s="2">
        <v>2.9500000000000001E-6</v>
      </c>
      <c r="P112" s="2">
        <v>13153538</v>
      </c>
      <c r="Q112" s="2">
        <v>551</v>
      </c>
    </row>
    <row r="113" spans="1:17" x14ac:dyDescent="0.25">
      <c r="A113" s="1">
        <v>43497</v>
      </c>
      <c r="B113" s="2">
        <v>9108517.2697899994</v>
      </c>
      <c r="C113" s="2">
        <v>6350785.7953899996</v>
      </c>
      <c r="D113" s="2" t="s">
        <v>5340</v>
      </c>
      <c r="E113" s="2">
        <v>588298610.847</v>
      </c>
      <c r="F113" s="2">
        <v>68.349999999999994</v>
      </c>
      <c r="G113" s="2">
        <v>179787292</v>
      </c>
      <c r="H113" s="2">
        <v>2134182689.6700001</v>
      </c>
      <c r="I113" s="2">
        <v>1820.0054262399999</v>
      </c>
      <c r="J113" s="2">
        <v>2.1747437700000001</v>
      </c>
      <c r="K113" s="2">
        <v>95226</v>
      </c>
      <c r="L113" s="2">
        <v>65353154.120399997</v>
      </c>
      <c r="M113" s="2" t="s">
        <v>5341</v>
      </c>
      <c r="N113" s="2">
        <v>6.5986996964999998</v>
      </c>
      <c r="O113" s="2">
        <v>2.2699999999999999E-6</v>
      </c>
      <c r="P113" s="2">
        <v>14061404</v>
      </c>
      <c r="Q113" s="2">
        <v>544</v>
      </c>
    </row>
    <row r="114" spans="1:17" x14ac:dyDescent="0.25">
      <c r="A114" s="1">
        <v>43496</v>
      </c>
      <c r="B114" s="2">
        <v>7384508.2760399999</v>
      </c>
      <c r="C114" s="2">
        <v>5575618.9950299999</v>
      </c>
      <c r="D114" s="2" t="s">
        <v>5342</v>
      </c>
      <c r="E114" s="2">
        <v>596107377.03900003</v>
      </c>
      <c r="F114" s="2">
        <v>69.27</v>
      </c>
      <c r="G114" s="2">
        <v>140199493</v>
      </c>
      <c r="H114" s="2">
        <v>2135474761.55</v>
      </c>
      <c r="I114" s="2">
        <v>7947.5731901400004</v>
      </c>
      <c r="J114" s="2">
        <v>2.2065387300000001</v>
      </c>
      <c r="K114" s="2">
        <v>86424</v>
      </c>
      <c r="L114" s="2">
        <v>61269696.1435</v>
      </c>
      <c r="M114" s="2" t="s">
        <v>5343</v>
      </c>
      <c r="N114" s="2">
        <v>6.2343623429999999</v>
      </c>
      <c r="O114" s="2">
        <v>2.2699999999999999E-6</v>
      </c>
      <c r="P114" s="2">
        <v>12248801</v>
      </c>
      <c r="Q114" s="2">
        <v>554</v>
      </c>
    </row>
    <row r="115" spans="1:17" x14ac:dyDescent="0.25">
      <c r="A115" s="1">
        <v>43495</v>
      </c>
      <c r="B115" s="2">
        <v>8265533.6446599998</v>
      </c>
      <c r="C115" s="2">
        <v>5959845.1391500002</v>
      </c>
      <c r="D115" s="2" t="s">
        <v>5344</v>
      </c>
      <c r="E115" s="2">
        <v>586012093.39600003</v>
      </c>
      <c r="F115" s="2">
        <v>68.16</v>
      </c>
      <c r="G115" s="2">
        <v>153059006</v>
      </c>
      <c r="H115" s="2">
        <v>2136522631.8599999</v>
      </c>
      <c r="I115" s="2">
        <v>1823.3510244500001</v>
      </c>
      <c r="J115" s="2">
        <v>2.4385330000000001</v>
      </c>
      <c r="K115" s="2">
        <v>76617</v>
      </c>
      <c r="L115" s="2">
        <v>62362914.721199997</v>
      </c>
      <c r="M115" s="2" t="s">
        <v>5345</v>
      </c>
      <c r="N115" s="2">
        <v>6.2238259200000003</v>
      </c>
      <c r="O115" s="2">
        <v>3.7400000000000002E-6</v>
      </c>
      <c r="P115" s="2">
        <v>11460901</v>
      </c>
      <c r="Q115" s="2">
        <v>545</v>
      </c>
    </row>
    <row r="116" spans="1:17" x14ac:dyDescent="0.25">
      <c r="A116" s="1">
        <v>43494</v>
      </c>
      <c r="B116" s="2">
        <v>8194329.2242400004</v>
      </c>
      <c r="C116" s="2">
        <v>5983077.7356500002</v>
      </c>
      <c r="D116" s="2" t="s">
        <v>5346</v>
      </c>
      <c r="E116" s="2">
        <v>585370669.29200006</v>
      </c>
      <c r="F116" s="2">
        <v>68.099999999999994</v>
      </c>
      <c r="G116" s="2">
        <v>166904205</v>
      </c>
      <c r="H116" s="2">
        <v>2139283417.3199999</v>
      </c>
      <c r="I116" s="2">
        <v>1840.0790155</v>
      </c>
      <c r="J116" s="2">
        <v>2.14464765</v>
      </c>
      <c r="K116" s="2">
        <v>74362</v>
      </c>
      <c r="L116" s="2">
        <v>59849183.741800003</v>
      </c>
      <c r="M116" s="2" t="s">
        <v>5347</v>
      </c>
      <c r="N116" s="2">
        <v>6.8100680999999996</v>
      </c>
      <c r="O116" s="2">
        <v>3.0599999999999999E-6</v>
      </c>
      <c r="P116" s="2">
        <v>11185975</v>
      </c>
      <c r="Q116" s="2">
        <v>550</v>
      </c>
    </row>
    <row r="117" spans="1:17" x14ac:dyDescent="0.25">
      <c r="A117" s="1">
        <v>43493</v>
      </c>
      <c r="B117" s="2">
        <v>10230962.661599999</v>
      </c>
      <c r="C117" s="2">
        <v>8056918.2054899996</v>
      </c>
      <c r="D117" s="2" t="s">
        <v>5348</v>
      </c>
      <c r="E117" s="2">
        <v>614054962.85899997</v>
      </c>
      <c r="F117" s="2">
        <v>71.45</v>
      </c>
      <c r="G117" s="2">
        <v>941544091</v>
      </c>
      <c r="H117" s="2">
        <v>2141087180.8499999</v>
      </c>
      <c r="I117" s="2">
        <v>1850.11581013</v>
      </c>
      <c r="J117" s="2">
        <v>2.2804558400000001</v>
      </c>
      <c r="K117" s="2">
        <v>76207</v>
      </c>
      <c r="L117" s="2">
        <v>65711133.884199999</v>
      </c>
      <c r="M117" s="2" t="s">
        <v>5349</v>
      </c>
      <c r="N117" s="2">
        <v>7.8595785950000003</v>
      </c>
      <c r="O117" s="2">
        <v>2.2699999999999999E-6</v>
      </c>
      <c r="P117" s="2">
        <v>11320422</v>
      </c>
      <c r="Q117" s="2">
        <v>553</v>
      </c>
    </row>
    <row r="118" spans="1:17" x14ac:dyDescent="0.25">
      <c r="A118" s="1">
        <v>43492</v>
      </c>
      <c r="B118" s="2">
        <v>11156335.426000001</v>
      </c>
      <c r="C118" s="2">
        <v>6504749.90405</v>
      </c>
      <c r="D118" s="2" t="s">
        <v>5350</v>
      </c>
      <c r="E118" s="2">
        <v>637360358.29900002</v>
      </c>
      <c r="F118" s="2">
        <v>74.180000000000007</v>
      </c>
      <c r="G118" s="2">
        <v>162049523</v>
      </c>
      <c r="H118" s="2">
        <v>2142984084.25</v>
      </c>
      <c r="I118" s="2">
        <v>1830.0422208699999</v>
      </c>
      <c r="J118" s="2">
        <v>1.8492694700000001</v>
      </c>
      <c r="K118" s="2">
        <v>91413</v>
      </c>
      <c r="L118" s="2">
        <v>59760067.996200003</v>
      </c>
      <c r="M118" s="2" t="s">
        <v>5351</v>
      </c>
      <c r="N118" s="2">
        <v>8.5724447949999991</v>
      </c>
      <c r="O118" s="2">
        <v>2.2699999999999999E-6</v>
      </c>
      <c r="P118" s="2">
        <v>12638102</v>
      </c>
      <c r="Q118" s="2">
        <v>547</v>
      </c>
    </row>
    <row r="119" spans="1:17" x14ac:dyDescent="0.25">
      <c r="A119" s="1">
        <v>43491</v>
      </c>
      <c r="B119" s="2">
        <v>6871546.3393200003</v>
      </c>
      <c r="C119" s="2">
        <v>5459702.2327300003</v>
      </c>
      <c r="D119" s="2" t="s">
        <v>5352</v>
      </c>
      <c r="E119" s="2">
        <v>633838753.977</v>
      </c>
      <c r="F119" s="2">
        <v>73.790000000000006</v>
      </c>
      <c r="G119" s="2">
        <v>160830169</v>
      </c>
      <c r="H119" s="2">
        <v>2144528742.79</v>
      </c>
      <c r="I119" s="2">
        <v>1820.0054262399999</v>
      </c>
      <c r="J119" s="2">
        <v>1.9154619399999999</v>
      </c>
      <c r="K119" s="2">
        <v>105486</v>
      </c>
      <c r="L119" s="2">
        <v>67629108.594699994</v>
      </c>
      <c r="M119" s="2" t="s">
        <v>5353</v>
      </c>
      <c r="N119" s="2">
        <v>5.3659209899000002</v>
      </c>
      <c r="O119" s="2">
        <v>2.2699999999999999E-6</v>
      </c>
      <c r="P119" s="2">
        <v>14971421</v>
      </c>
      <c r="Q119" s="2">
        <v>544</v>
      </c>
    </row>
    <row r="120" spans="1:17" x14ac:dyDescent="0.25">
      <c r="A120" s="1">
        <v>43490</v>
      </c>
      <c r="B120" s="2">
        <v>7644849.64102</v>
      </c>
      <c r="C120" s="2">
        <v>5596730.5406999998</v>
      </c>
      <c r="D120" s="2" t="s">
        <v>5354</v>
      </c>
      <c r="E120" s="2">
        <v>628993863.56400001</v>
      </c>
      <c r="F120" s="2">
        <v>73.239999999999995</v>
      </c>
      <c r="G120" s="2">
        <v>170704889</v>
      </c>
      <c r="H120" s="2">
        <v>2145324885.6199999</v>
      </c>
      <c r="I120" s="2">
        <v>1856.8070065500001</v>
      </c>
      <c r="J120" s="2">
        <v>1.7908194799999999</v>
      </c>
      <c r="K120" s="2">
        <v>112229</v>
      </c>
      <c r="L120" s="2">
        <v>63241800.471500002</v>
      </c>
      <c r="M120" s="2" t="s">
        <v>5355</v>
      </c>
      <c r="N120" s="2">
        <v>6.5916659160000002</v>
      </c>
      <c r="O120" s="2">
        <v>2.5000000000000002E-6</v>
      </c>
      <c r="P120" s="2">
        <v>15761706</v>
      </c>
      <c r="Q120" s="2">
        <v>555</v>
      </c>
    </row>
    <row r="121" spans="1:17" x14ac:dyDescent="0.25">
      <c r="A121" s="1">
        <v>43489</v>
      </c>
      <c r="B121" s="2">
        <v>8315507.83916</v>
      </c>
      <c r="C121" s="2">
        <v>6134834.3730300004</v>
      </c>
      <c r="D121" s="2" t="s">
        <v>5356</v>
      </c>
      <c r="E121" s="2">
        <v>610258083.20200002</v>
      </c>
      <c r="F121" s="2">
        <v>71.069999999999993</v>
      </c>
      <c r="G121" s="2">
        <v>165476902</v>
      </c>
      <c r="H121" s="2">
        <v>2146375319.05</v>
      </c>
      <c r="I121" s="2">
        <v>1840.0790155</v>
      </c>
      <c r="J121" s="2">
        <v>2.5293857599999998</v>
      </c>
      <c r="K121" s="2">
        <v>97840</v>
      </c>
      <c r="L121" s="2">
        <v>63704551.199199997</v>
      </c>
      <c r="M121" s="2" t="s">
        <v>5357</v>
      </c>
      <c r="N121" s="2">
        <v>5.8506977421000004</v>
      </c>
      <c r="O121" s="2">
        <v>2.5000000000000002E-6</v>
      </c>
      <c r="P121" s="2">
        <v>14698500</v>
      </c>
      <c r="Q121" s="2">
        <v>550</v>
      </c>
    </row>
    <row r="122" spans="1:17" x14ac:dyDescent="0.25">
      <c r="A122" s="1">
        <v>43488</v>
      </c>
      <c r="B122" s="2">
        <v>7682411.2908199998</v>
      </c>
      <c r="C122" s="2">
        <v>5192977.64286</v>
      </c>
      <c r="D122" s="2" t="s">
        <v>5358</v>
      </c>
      <c r="E122" s="2">
        <v>616225855.14300001</v>
      </c>
      <c r="F122" s="2">
        <v>71.78</v>
      </c>
      <c r="G122" s="2">
        <v>173653586</v>
      </c>
      <c r="H122" s="2">
        <v>2147922247.0500002</v>
      </c>
      <c r="I122" s="2">
        <v>1820.0054262399999</v>
      </c>
      <c r="J122" s="2">
        <v>2.2295426699999998</v>
      </c>
      <c r="K122" s="2">
        <v>94656</v>
      </c>
      <c r="L122" s="2">
        <v>65300993.170400001</v>
      </c>
      <c r="M122" s="2" t="s">
        <v>5359</v>
      </c>
      <c r="N122" s="2">
        <v>6.4602646019999996</v>
      </c>
      <c r="O122" s="2">
        <v>2.26E-6</v>
      </c>
      <c r="P122" s="2">
        <v>13607851</v>
      </c>
      <c r="Q122" s="2">
        <v>544</v>
      </c>
    </row>
    <row r="123" spans="1:17" x14ac:dyDescent="0.25">
      <c r="A123" s="1">
        <v>43487</v>
      </c>
      <c r="B123" s="2">
        <v>7426493.8446500003</v>
      </c>
      <c r="C123" s="2">
        <v>6028692.4715900002</v>
      </c>
      <c r="D123" s="2" t="s">
        <v>5360</v>
      </c>
      <c r="E123" s="2">
        <v>600076282.93799996</v>
      </c>
      <c r="F123" s="2">
        <v>69.92</v>
      </c>
      <c r="G123" s="2">
        <v>138943879</v>
      </c>
      <c r="H123" s="2">
        <v>2149508274.0999999</v>
      </c>
      <c r="I123" s="2">
        <v>1820.0054262399999</v>
      </c>
      <c r="J123" s="2">
        <v>3.0371904299999999</v>
      </c>
      <c r="K123" s="2">
        <v>107619</v>
      </c>
      <c r="L123" s="2">
        <v>63742815.671599999</v>
      </c>
      <c r="M123" s="2" t="s">
        <v>5361</v>
      </c>
      <c r="N123" s="2">
        <v>5.920224288</v>
      </c>
      <c r="O123" s="2">
        <v>2.2699999999999999E-6</v>
      </c>
      <c r="P123" s="2">
        <v>14569493</v>
      </c>
      <c r="Q123" s="2">
        <v>544</v>
      </c>
    </row>
    <row r="124" spans="1:17" x14ac:dyDescent="0.25">
      <c r="A124" s="1">
        <v>43486</v>
      </c>
      <c r="B124" s="2">
        <v>7412370.5598200001</v>
      </c>
      <c r="C124" s="2">
        <v>5247069.3774499996</v>
      </c>
      <c r="D124" s="2" t="s">
        <v>5362</v>
      </c>
      <c r="E124" s="2">
        <v>600997126.09099996</v>
      </c>
      <c r="F124" s="2">
        <v>70.040000000000006</v>
      </c>
      <c r="G124" s="2">
        <v>163197554</v>
      </c>
      <c r="H124" s="2">
        <v>2151708995.3899999</v>
      </c>
      <c r="I124" s="2">
        <v>1826.69662266</v>
      </c>
      <c r="J124" s="2">
        <v>3.7694189599999999</v>
      </c>
      <c r="K124" s="2">
        <v>76298</v>
      </c>
      <c r="L124" s="2">
        <v>52433802.001100004</v>
      </c>
      <c r="M124" s="2" t="s">
        <v>5363</v>
      </c>
      <c r="N124" s="2">
        <v>5.3646780796</v>
      </c>
      <c r="O124" s="2">
        <v>2.2900000000000001E-6</v>
      </c>
      <c r="P124" s="2">
        <v>11879207</v>
      </c>
      <c r="Q124" s="2">
        <v>546</v>
      </c>
    </row>
    <row r="125" spans="1:17" x14ac:dyDescent="0.25">
      <c r="A125" s="1">
        <v>43485</v>
      </c>
      <c r="B125" s="2">
        <v>8229851.0613500001</v>
      </c>
      <c r="C125" s="2">
        <v>6094572.7939499998</v>
      </c>
      <c r="D125" s="2" t="s">
        <v>5364</v>
      </c>
      <c r="E125" s="2">
        <v>633758489.64600003</v>
      </c>
      <c r="F125" s="2">
        <v>73.87</v>
      </c>
      <c r="G125" s="2">
        <v>242808317</v>
      </c>
      <c r="H125" s="2">
        <v>2152344789.5999999</v>
      </c>
      <c r="I125" s="2">
        <v>1850.11581013</v>
      </c>
      <c r="J125" s="2">
        <v>1.8541318</v>
      </c>
      <c r="K125" s="2">
        <v>103507</v>
      </c>
      <c r="L125" s="2">
        <v>65231037.517899998</v>
      </c>
      <c r="M125" s="2" t="s">
        <v>5365</v>
      </c>
      <c r="N125" s="2">
        <v>5.9096590960000004</v>
      </c>
      <c r="O125" s="2">
        <v>2.26E-6</v>
      </c>
      <c r="P125" s="2">
        <v>15679507</v>
      </c>
      <c r="Q125" s="2">
        <v>553</v>
      </c>
    </row>
    <row r="126" spans="1:17" x14ac:dyDescent="0.25">
      <c r="A126" s="1">
        <v>43484</v>
      </c>
      <c r="B126" s="2">
        <v>6557892.6499500005</v>
      </c>
      <c r="C126" s="2">
        <v>4946938.5992700001</v>
      </c>
      <c r="D126" s="2" t="s">
        <v>5366</v>
      </c>
      <c r="E126" s="2">
        <v>615137227.52600002</v>
      </c>
      <c r="F126" s="2">
        <v>71.72</v>
      </c>
      <c r="G126" s="2">
        <v>173266129</v>
      </c>
      <c r="H126" s="2">
        <v>2154247468.6300001</v>
      </c>
      <c r="I126" s="2">
        <v>1850.11581013</v>
      </c>
      <c r="J126" s="2">
        <v>1.7771059300000001</v>
      </c>
      <c r="K126" s="2">
        <v>75438</v>
      </c>
      <c r="L126" s="2">
        <v>63092874.3389</v>
      </c>
      <c r="M126" s="2" t="s">
        <v>5367</v>
      </c>
      <c r="N126" s="2">
        <v>9.3236932360000004</v>
      </c>
      <c r="O126" s="2">
        <v>3.2899999999999998E-6</v>
      </c>
      <c r="P126" s="2">
        <v>11314869</v>
      </c>
      <c r="Q126" s="2">
        <v>553</v>
      </c>
    </row>
    <row r="127" spans="1:17" x14ac:dyDescent="0.25">
      <c r="A127" s="1">
        <v>43483</v>
      </c>
      <c r="B127" s="2">
        <v>8188529.8948799996</v>
      </c>
      <c r="C127" s="2">
        <v>6138826.5948000001</v>
      </c>
      <c r="D127" s="2" t="s">
        <v>5368</v>
      </c>
      <c r="E127" s="2">
        <v>620927485.65799999</v>
      </c>
      <c r="F127" s="2">
        <v>72.41</v>
      </c>
      <c r="G127" s="2">
        <v>198778864</v>
      </c>
      <c r="H127" s="2">
        <v>2156524563.6900001</v>
      </c>
      <c r="I127" s="2">
        <v>1816.65982803</v>
      </c>
      <c r="J127" s="2">
        <v>2.16749708</v>
      </c>
      <c r="K127" s="2">
        <v>66570</v>
      </c>
      <c r="L127" s="2">
        <v>65089677.271300003</v>
      </c>
      <c r="M127" s="2" t="s">
        <v>5369</v>
      </c>
      <c r="N127" s="2">
        <v>10.137501373999999</v>
      </c>
      <c r="O127" s="2">
        <v>3.7400000000000002E-6</v>
      </c>
      <c r="P127" s="2">
        <v>10106438</v>
      </c>
      <c r="Q127" s="2">
        <v>543</v>
      </c>
    </row>
    <row r="128" spans="1:17" x14ac:dyDescent="0.25">
      <c r="A128" s="1">
        <v>43482</v>
      </c>
      <c r="B128" s="2">
        <v>7236079.4463299997</v>
      </c>
      <c r="C128" s="2">
        <v>5420647.5003399998</v>
      </c>
      <c r="D128" s="2" t="s">
        <v>5370</v>
      </c>
      <c r="E128" s="2">
        <v>613519557.22099996</v>
      </c>
      <c r="F128" s="2">
        <v>71.56</v>
      </c>
      <c r="G128" s="2">
        <v>160688846</v>
      </c>
      <c r="H128" s="2">
        <v>2159791691.2600002</v>
      </c>
      <c r="I128" s="2">
        <v>1840.0790155</v>
      </c>
      <c r="J128" s="2">
        <v>2.23582305</v>
      </c>
      <c r="K128" s="2">
        <v>49876</v>
      </c>
      <c r="L128" s="2">
        <v>82624869.489600003</v>
      </c>
      <c r="M128" s="2" t="s">
        <v>5371</v>
      </c>
      <c r="N128" s="2">
        <v>9.1611112000000006</v>
      </c>
      <c r="O128" s="2">
        <v>3.7400000000000002E-6</v>
      </c>
      <c r="P128" s="2">
        <v>7807288</v>
      </c>
      <c r="Q128" s="2">
        <v>550</v>
      </c>
    </row>
    <row r="129" spans="1:17" x14ac:dyDescent="0.25">
      <c r="A129" s="1">
        <v>43481</v>
      </c>
      <c r="B129" s="2">
        <v>8463699.1883799993</v>
      </c>
      <c r="C129" s="2">
        <v>6186208.2167100003</v>
      </c>
      <c r="D129" s="2" t="s">
        <v>5372</v>
      </c>
      <c r="E129" s="2">
        <v>605521448.95700002</v>
      </c>
      <c r="F129" s="2">
        <v>70.64</v>
      </c>
      <c r="G129" s="2">
        <v>157274044</v>
      </c>
      <c r="H129" s="2">
        <v>2161393992.79</v>
      </c>
      <c r="I129" s="2">
        <v>1833.3878190800001</v>
      </c>
      <c r="J129" s="2">
        <v>2.14774595</v>
      </c>
      <c r="K129" s="2">
        <v>47756</v>
      </c>
      <c r="L129" s="2">
        <v>78404123.582599998</v>
      </c>
      <c r="M129" s="2" t="s">
        <v>5373</v>
      </c>
      <c r="N129" s="2">
        <v>5.5665761056000003</v>
      </c>
      <c r="O129" s="2">
        <v>3.7400000000000002E-6</v>
      </c>
      <c r="P129" s="2">
        <v>7217480</v>
      </c>
      <c r="Q129" s="2">
        <v>548</v>
      </c>
    </row>
    <row r="130" spans="1:17" x14ac:dyDescent="0.25">
      <c r="A130" s="1">
        <v>43480</v>
      </c>
      <c r="B130" s="2">
        <v>10856562.9374</v>
      </c>
      <c r="C130" s="2">
        <v>6542414.4348799996</v>
      </c>
      <c r="D130" s="2" t="s">
        <v>5374</v>
      </c>
      <c r="E130" s="2">
        <v>624780566.34300005</v>
      </c>
      <c r="F130" s="2">
        <v>72.900000000000006</v>
      </c>
      <c r="G130" s="2">
        <v>170689876</v>
      </c>
      <c r="H130" s="2">
        <v>2163616883.9699998</v>
      </c>
      <c r="I130" s="2">
        <v>1840.0790155</v>
      </c>
      <c r="J130" s="2">
        <v>2.3293031800000001</v>
      </c>
      <c r="K130" s="2">
        <v>50584</v>
      </c>
      <c r="L130" s="2">
        <v>80755074.814799994</v>
      </c>
      <c r="M130" s="2" t="s">
        <v>5375</v>
      </c>
      <c r="N130" s="2">
        <v>8.3937183930000003</v>
      </c>
      <c r="O130" s="2">
        <v>3.7400000000000002E-6</v>
      </c>
      <c r="P130" s="2">
        <v>7753254</v>
      </c>
      <c r="Q130" s="2">
        <v>550</v>
      </c>
    </row>
    <row r="131" spans="1:17" x14ac:dyDescent="0.25">
      <c r="A131" s="1">
        <v>43479</v>
      </c>
      <c r="B131" s="2">
        <v>10830191.008099999</v>
      </c>
      <c r="C131" s="2">
        <v>7442001.2635500003</v>
      </c>
      <c r="D131" s="2" t="s">
        <v>5376</v>
      </c>
      <c r="E131" s="2">
        <v>603453837.51100004</v>
      </c>
      <c r="F131" s="2">
        <v>70.430000000000007</v>
      </c>
      <c r="G131" s="2">
        <v>137162317</v>
      </c>
      <c r="H131" s="2">
        <v>2165090034.3000002</v>
      </c>
      <c r="I131" s="2">
        <v>1820.0054262399999</v>
      </c>
      <c r="J131" s="2">
        <v>2.31673098</v>
      </c>
      <c r="K131" s="2">
        <v>46954</v>
      </c>
      <c r="L131" s="2">
        <v>77854957.210500002</v>
      </c>
      <c r="M131" s="2" t="s">
        <v>5377</v>
      </c>
      <c r="N131" s="2">
        <v>9.0849488180000009</v>
      </c>
      <c r="O131" s="2">
        <v>3.9600000000000002E-6</v>
      </c>
      <c r="P131" s="2">
        <v>7319188</v>
      </c>
      <c r="Q131" s="2">
        <v>544</v>
      </c>
    </row>
    <row r="132" spans="1:17" x14ac:dyDescent="0.25">
      <c r="A132" s="1">
        <v>43478</v>
      </c>
      <c r="B132" s="2">
        <v>7665477.6080600005</v>
      </c>
      <c r="C132" s="2">
        <v>5947489.0325100003</v>
      </c>
      <c r="D132" s="2" t="s">
        <v>5378</v>
      </c>
      <c r="E132" s="2">
        <v>630611229.29100001</v>
      </c>
      <c r="F132" s="2">
        <v>73.61</v>
      </c>
      <c r="G132" s="2">
        <v>128458987</v>
      </c>
      <c r="H132" s="2">
        <v>2165850674.6399999</v>
      </c>
      <c r="I132" s="2">
        <v>1823.3510244500001</v>
      </c>
      <c r="J132" s="2">
        <v>1.7568257300000001</v>
      </c>
      <c r="K132" s="2">
        <v>34728</v>
      </c>
      <c r="L132" s="2">
        <v>73456517.112000003</v>
      </c>
      <c r="M132" s="2" t="s">
        <v>5379</v>
      </c>
      <c r="N132" s="2">
        <v>8.8332883320000004</v>
      </c>
      <c r="O132" s="2">
        <v>3.7799999999999998E-6</v>
      </c>
      <c r="P132" s="2">
        <v>6010999</v>
      </c>
      <c r="Q132" s="2">
        <v>545</v>
      </c>
    </row>
    <row r="133" spans="1:17" x14ac:dyDescent="0.25">
      <c r="A133" s="1">
        <v>43477</v>
      </c>
      <c r="B133" s="2">
        <v>6001437.3925599996</v>
      </c>
      <c r="C133" s="2">
        <v>4312558.6968799997</v>
      </c>
      <c r="D133" s="2" t="s">
        <v>5380</v>
      </c>
      <c r="E133" s="2">
        <v>632751983.57200003</v>
      </c>
      <c r="F133" s="2">
        <v>73.88</v>
      </c>
      <c r="G133" s="2">
        <v>123278278</v>
      </c>
      <c r="H133" s="2">
        <v>2166764970.2600002</v>
      </c>
      <c r="I133" s="2">
        <v>1836.73341729</v>
      </c>
      <c r="J133" s="2">
        <v>1.8780002499999999</v>
      </c>
      <c r="K133" s="2">
        <v>35013</v>
      </c>
      <c r="L133" s="2">
        <v>77063681.154400006</v>
      </c>
      <c r="M133" s="2" t="s">
        <v>5381</v>
      </c>
      <c r="N133" s="2">
        <v>9.8380809623999994</v>
      </c>
      <c r="O133" s="2">
        <v>5.2100000000000001E-6</v>
      </c>
      <c r="P133" s="2">
        <v>8032135</v>
      </c>
      <c r="Q133" s="2">
        <v>549</v>
      </c>
    </row>
    <row r="134" spans="1:17" x14ac:dyDescent="0.25">
      <c r="A134" s="1">
        <v>43476</v>
      </c>
      <c r="B134" s="2">
        <v>12181385.143999999</v>
      </c>
      <c r="C134" s="2">
        <v>8483704.1781900004</v>
      </c>
      <c r="D134" s="2" t="s">
        <v>5382</v>
      </c>
      <c r="E134" s="2">
        <v>630327892.38499999</v>
      </c>
      <c r="F134" s="2">
        <v>73.61</v>
      </c>
      <c r="G134" s="2">
        <v>115955105</v>
      </c>
      <c r="H134" s="2">
        <v>2167157982.6799998</v>
      </c>
      <c r="I134" s="2">
        <v>1846.7702119200001</v>
      </c>
      <c r="J134" s="2">
        <v>2.7728092100000001</v>
      </c>
      <c r="K134" s="2">
        <v>46719</v>
      </c>
      <c r="L134" s="2">
        <v>73411514.040700004</v>
      </c>
      <c r="M134" s="2" t="s">
        <v>5383</v>
      </c>
      <c r="N134" s="2">
        <v>13.249932498</v>
      </c>
      <c r="O134" s="2">
        <v>3.7400000000000002E-6</v>
      </c>
      <c r="P134" s="2">
        <v>8698325</v>
      </c>
      <c r="Q134" s="2">
        <v>552</v>
      </c>
    </row>
    <row r="135" spans="1:17" x14ac:dyDescent="0.25">
      <c r="A135" s="1">
        <v>43475</v>
      </c>
      <c r="B135" s="2">
        <v>25919091.015000001</v>
      </c>
      <c r="C135" s="2">
        <v>22839048.642999999</v>
      </c>
      <c r="D135" s="2" t="s">
        <v>5384</v>
      </c>
      <c r="E135" s="2">
        <v>734977574.81599998</v>
      </c>
      <c r="F135" s="2">
        <v>85.85</v>
      </c>
      <c r="G135" s="2">
        <v>136869558</v>
      </c>
      <c r="H135" s="2">
        <v>2168169652.6599998</v>
      </c>
      <c r="I135" s="2">
        <v>1836.73341729</v>
      </c>
      <c r="J135" s="2">
        <v>3.30639825</v>
      </c>
      <c r="K135" s="2">
        <v>35237</v>
      </c>
      <c r="L135" s="2">
        <v>66115699.916699998</v>
      </c>
      <c r="M135" s="2" t="s">
        <v>5385</v>
      </c>
      <c r="N135" s="2">
        <v>15.635750612000001</v>
      </c>
      <c r="O135" s="2">
        <v>4.8799999999999999E-6</v>
      </c>
      <c r="P135" s="2">
        <v>6577012</v>
      </c>
      <c r="Q135" s="2">
        <v>549</v>
      </c>
    </row>
    <row r="136" spans="1:17" x14ac:dyDescent="0.25">
      <c r="A136" s="1">
        <v>43474</v>
      </c>
      <c r="B136" s="2">
        <v>18728312.485800002</v>
      </c>
      <c r="C136" s="2">
        <v>11381667.327500001</v>
      </c>
      <c r="D136" s="2" t="s">
        <v>5386</v>
      </c>
      <c r="E136" s="2">
        <v>699103309.66999996</v>
      </c>
      <c r="F136" s="2">
        <v>81.680000000000007</v>
      </c>
      <c r="G136" s="2">
        <v>107500924</v>
      </c>
      <c r="H136" s="2">
        <v>2173522893.71</v>
      </c>
      <c r="I136" s="2">
        <v>1846.7702119200001</v>
      </c>
      <c r="J136" s="2">
        <v>2.5415735000000002</v>
      </c>
      <c r="K136" s="2">
        <v>47903</v>
      </c>
      <c r="L136" s="2">
        <v>63244155.340499997</v>
      </c>
      <c r="M136" s="2" t="s">
        <v>5387</v>
      </c>
      <c r="N136" s="2">
        <v>13.1482885256</v>
      </c>
      <c r="O136" s="2">
        <v>3.7400000000000002E-6</v>
      </c>
      <c r="P136" s="2">
        <v>8516833</v>
      </c>
      <c r="Q136" s="2">
        <v>552</v>
      </c>
    </row>
    <row r="137" spans="1:17" x14ac:dyDescent="0.25">
      <c r="A137" s="1">
        <v>43473</v>
      </c>
      <c r="B137" s="2">
        <v>20760681.488699999</v>
      </c>
      <c r="C137" s="2">
        <v>13297565.0754</v>
      </c>
      <c r="D137" s="2" t="s">
        <v>5388</v>
      </c>
      <c r="E137" s="2">
        <v>714098850.83500004</v>
      </c>
      <c r="F137" s="2">
        <v>83.45</v>
      </c>
      <c r="G137" s="2">
        <v>97001749</v>
      </c>
      <c r="H137" s="2">
        <v>2175658254.8899999</v>
      </c>
      <c r="I137" s="2">
        <v>1850.11581013</v>
      </c>
      <c r="J137" s="2">
        <v>3.2919852399999998</v>
      </c>
      <c r="K137" s="2">
        <v>49969</v>
      </c>
      <c r="L137" s="2">
        <v>63719875.104699999</v>
      </c>
      <c r="M137" s="2" t="s">
        <v>5389</v>
      </c>
      <c r="N137" s="2">
        <v>13.7348627585</v>
      </c>
      <c r="O137" s="2">
        <v>3.7400000000000002E-6</v>
      </c>
      <c r="P137" s="2">
        <v>8587643</v>
      </c>
      <c r="Q137" s="2">
        <v>553</v>
      </c>
    </row>
    <row r="138" spans="1:17" x14ac:dyDescent="0.25">
      <c r="A138" s="1">
        <v>43472</v>
      </c>
      <c r="B138" s="2">
        <v>33322831.717500001</v>
      </c>
      <c r="C138" s="2">
        <v>18100592.655999999</v>
      </c>
      <c r="D138" s="2" t="s">
        <v>5390</v>
      </c>
      <c r="E138" s="2">
        <v>735770877.34599996</v>
      </c>
      <c r="F138" s="2">
        <v>86</v>
      </c>
      <c r="G138" s="2">
        <v>115327298</v>
      </c>
      <c r="H138" s="2">
        <v>2176284021.5599999</v>
      </c>
      <c r="I138" s="2">
        <v>1840.0790155</v>
      </c>
      <c r="J138" s="2">
        <v>2.41168322</v>
      </c>
      <c r="K138" s="2">
        <v>52799</v>
      </c>
      <c r="L138" s="2">
        <v>61324367.019299999</v>
      </c>
      <c r="M138" s="2" t="s">
        <v>5391</v>
      </c>
      <c r="N138" s="2">
        <v>13.82187184</v>
      </c>
      <c r="O138" s="2">
        <v>1.9199999999999998E-6</v>
      </c>
      <c r="P138" s="2">
        <v>11046173</v>
      </c>
      <c r="Q138" s="2">
        <v>550</v>
      </c>
    </row>
    <row r="139" spans="1:17" x14ac:dyDescent="0.25">
      <c r="A139" s="1">
        <v>43471</v>
      </c>
      <c r="B139" s="2">
        <v>12065009.5276</v>
      </c>
      <c r="C139" s="2">
        <v>9614804.7465400007</v>
      </c>
      <c r="D139" s="2" t="s">
        <v>5392</v>
      </c>
      <c r="E139" s="2">
        <v>689210487.70200002</v>
      </c>
      <c r="F139" s="2">
        <v>80.58</v>
      </c>
      <c r="G139" s="2">
        <v>108093796</v>
      </c>
      <c r="H139" s="2">
        <v>2187059078.9099998</v>
      </c>
      <c r="I139" s="2">
        <v>1826.69662266</v>
      </c>
      <c r="J139" s="2">
        <v>3.0805814699999998</v>
      </c>
      <c r="K139" s="2">
        <v>47105</v>
      </c>
      <c r="L139" s="2">
        <v>61142065.541699998</v>
      </c>
      <c r="M139" s="2" t="s">
        <v>5393</v>
      </c>
      <c r="N139" s="2">
        <v>12.549671826599999</v>
      </c>
      <c r="O139" s="2">
        <v>1.9199999999999998E-6</v>
      </c>
      <c r="P139" s="2">
        <v>9659484</v>
      </c>
      <c r="Q139" s="2">
        <v>546</v>
      </c>
    </row>
    <row r="140" spans="1:17" x14ac:dyDescent="0.25">
      <c r="A140" s="1">
        <v>43470</v>
      </c>
      <c r="B140" s="2">
        <v>43289638.9771</v>
      </c>
      <c r="C140" s="2">
        <v>15600359.5735</v>
      </c>
      <c r="D140" s="2" t="s">
        <v>5394</v>
      </c>
      <c r="E140" s="2">
        <v>692859007.38300002</v>
      </c>
      <c r="F140" s="2">
        <v>81.02</v>
      </c>
      <c r="G140" s="2">
        <v>116893026</v>
      </c>
      <c r="H140" s="2">
        <v>2187875092.52</v>
      </c>
      <c r="I140" s="2">
        <v>1846.7702119200001</v>
      </c>
      <c r="J140" s="2">
        <v>2.6251751400000001</v>
      </c>
      <c r="K140" s="2">
        <v>46099</v>
      </c>
      <c r="L140" s="2">
        <v>60628113.549400002</v>
      </c>
      <c r="M140" s="2" t="s">
        <v>5395</v>
      </c>
      <c r="N140" s="2">
        <v>13.3725243828</v>
      </c>
      <c r="O140" s="2">
        <v>3.7400000000000002E-6</v>
      </c>
      <c r="P140" s="2">
        <v>7979446</v>
      </c>
      <c r="Q140" s="2">
        <v>552</v>
      </c>
    </row>
    <row r="141" spans="1:17" x14ac:dyDescent="0.25">
      <c r="A141" s="1">
        <v>43469</v>
      </c>
      <c r="B141" s="2">
        <v>47655082.207599998</v>
      </c>
      <c r="C141" s="2">
        <v>13454395.6929</v>
      </c>
      <c r="D141" s="2" t="s">
        <v>5396</v>
      </c>
      <c r="E141" s="2">
        <v>691502405.43799996</v>
      </c>
      <c r="F141" s="2">
        <v>80.88</v>
      </c>
      <c r="G141" s="2">
        <v>88034486</v>
      </c>
      <c r="H141" s="2">
        <v>2189727536.1399999</v>
      </c>
      <c r="I141" s="2">
        <v>1823.3510244500001</v>
      </c>
      <c r="J141" s="2">
        <v>2.2798855800000002</v>
      </c>
      <c r="K141" s="2">
        <v>55946</v>
      </c>
      <c r="L141" s="2">
        <v>59803009.388499998</v>
      </c>
      <c r="M141" s="2" t="s">
        <v>5397</v>
      </c>
      <c r="N141" s="2">
        <v>13.749737496</v>
      </c>
      <c r="O141" s="2">
        <v>3.7299999999999999E-6</v>
      </c>
      <c r="P141" s="2">
        <v>9641760</v>
      </c>
      <c r="Q141" s="2">
        <v>545</v>
      </c>
    </row>
    <row r="142" spans="1:17" x14ac:dyDescent="0.25">
      <c r="A142" s="1">
        <v>43468</v>
      </c>
      <c r="B142" s="2">
        <v>15831842.1777</v>
      </c>
      <c r="C142" s="2">
        <v>12132607.033500001</v>
      </c>
      <c r="D142" s="2" t="s">
        <v>5398</v>
      </c>
      <c r="E142" s="2">
        <v>717202637.70000005</v>
      </c>
      <c r="F142" s="2">
        <v>83.9</v>
      </c>
      <c r="G142" s="2">
        <v>107808623</v>
      </c>
      <c r="H142" s="2">
        <v>2192216054.1900001</v>
      </c>
      <c r="I142" s="2">
        <v>1836.73341729</v>
      </c>
      <c r="J142" s="2">
        <v>3.0806621000000001</v>
      </c>
      <c r="K142" s="2">
        <v>60707</v>
      </c>
      <c r="L142" s="2">
        <v>60727255.390500002</v>
      </c>
      <c r="M142" s="2" t="s">
        <v>5399</v>
      </c>
      <c r="N142" s="2">
        <v>15.941159409999999</v>
      </c>
      <c r="O142" s="2">
        <v>2.5000000000000002E-6</v>
      </c>
      <c r="P142" s="2">
        <v>10446789</v>
      </c>
      <c r="Q142" s="2">
        <v>549</v>
      </c>
    </row>
    <row r="143" spans="1:17" x14ac:dyDescent="0.25">
      <c r="A143" s="1">
        <v>43467</v>
      </c>
      <c r="B143" s="2">
        <v>14917818.9416</v>
      </c>
      <c r="C143" s="2">
        <v>8014234.1444699997</v>
      </c>
      <c r="D143" s="2" t="s">
        <v>5400</v>
      </c>
      <c r="E143" s="2">
        <v>694916879.10399997</v>
      </c>
      <c r="F143" s="2">
        <v>81.31</v>
      </c>
      <c r="G143" s="2">
        <v>97837934</v>
      </c>
      <c r="H143" s="2">
        <v>2197534816.4099998</v>
      </c>
      <c r="I143" s="2">
        <v>1833.3878190800001</v>
      </c>
      <c r="J143" s="2">
        <v>2.7266971199999999</v>
      </c>
      <c r="K143" s="2">
        <v>48250</v>
      </c>
      <c r="L143" s="2">
        <v>58095927.707500003</v>
      </c>
      <c r="M143" s="2" t="s">
        <v>5401</v>
      </c>
      <c r="N143" s="2">
        <v>15.449054489</v>
      </c>
      <c r="O143" s="2">
        <v>3.7400000000000002E-6</v>
      </c>
      <c r="P143" s="2">
        <v>8286900</v>
      </c>
      <c r="Q143" s="2">
        <v>548</v>
      </c>
    </row>
    <row r="144" spans="1:17" x14ac:dyDescent="0.25">
      <c r="A144" s="1">
        <v>43466</v>
      </c>
      <c r="B144" s="2">
        <v>28254604.783300001</v>
      </c>
      <c r="C144" s="2">
        <v>16118311.465700001</v>
      </c>
      <c r="D144" s="2" t="s">
        <v>5402</v>
      </c>
      <c r="E144" s="2">
        <v>676388609.00800002</v>
      </c>
      <c r="F144" s="2">
        <v>79.16</v>
      </c>
      <c r="G144" s="2">
        <v>88078738</v>
      </c>
      <c r="H144" s="2">
        <v>2201172589.4899998</v>
      </c>
      <c r="I144" s="2">
        <v>7794.8070065499996</v>
      </c>
      <c r="J144" s="2">
        <v>2.0270139500000002</v>
      </c>
      <c r="K144" s="2">
        <v>38918</v>
      </c>
      <c r="L144" s="2">
        <v>59407644.907300003</v>
      </c>
      <c r="M144" s="2" t="s">
        <v>5403</v>
      </c>
      <c r="N144" s="2">
        <v>13.426975128800001</v>
      </c>
      <c r="O144" s="2">
        <v>2.26E-6</v>
      </c>
      <c r="P144" s="2">
        <v>6898334</v>
      </c>
      <c r="Q144" s="2">
        <v>555</v>
      </c>
    </row>
    <row r="145" spans="1:17" x14ac:dyDescent="0.25">
      <c r="A145" s="1">
        <v>43465</v>
      </c>
      <c r="B145" s="2">
        <v>10288036.574200001</v>
      </c>
      <c r="C145" s="2">
        <v>6831322.6739800004</v>
      </c>
      <c r="D145" s="2" t="s">
        <v>5404</v>
      </c>
      <c r="E145" s="2">
        <v>698680742.11600006</v>
      </c>
      <c r="F145" s="2">
        <v>81.84</v>
      </c>
      <c r="G145" s="2">
        <v>108299749</v>
      </c>
      <c r="H145" s="2">
        <v>2202660453.1999998</v>
      </c>
      <c r="I145" s="2">
        <v>1836.73341729</v>
      </c>
      <c r="J145" s="2">
        <v>2.4953843199999999</v>
      </c>
      <c r="K145" s="2">
        <v>47724</v>
      </c>
      <c r="L145" s="2">
        <v>60255340.261799999</v>
      </c>
      <c r="M145" s="2" t="s">
        <v>5405</v>
      </c>
      <c r="N145" s="2">
        <v>9.2806560000000005</v>
      </c>
      <c r="O145" s="2">
        <v>2.26E-6</v>
      </c>
      <c r="P145" s="2">
        <v>8447266</v>
      </c>
      <c r="Q145" s="2">
        <v>549</v>
      </c>
    </row>
    <row r="146" spans="1:17" x14ac:dyDescent="0.25">
      <c r="A146" s="1">
        <v>43464</v>
      </c>
      <c r="B146" s="2">
        <v>9880691.8963300008</v>
      </c>
      <c r="C146" s="2">
        <v>7255382.5175299998</v>
      </c>
      <c r="D146" s="2" t="s">
        <v>5406</v>
      </c>
      <c r="E146" s="2">
        <v>684690973.227</v>
      </c>
      <c r="F146" s="2">
        <v>80.22</v>
      </c>
      <c r="G146" s="2">
        <v>103433722</v>
      </c>
      <c r="H146" s="2">
        <v>2203314090.21</v>
      </c>
      <c r="I146" s="2">
        <v>1823.3510244500001</v>
      </c>
      <c r="J146" s="2">
        <v>2.54722442</v>
      </c>
      <c r="K146" s="2">
        <v>41495</v>
      </c>
      <c r="L146" s="2">
        <v>60693282.134599999</v>
      </c>
      <c r="M146" s="2" t="s">
        <v>5407</v>
      </c>
      <c r="N146" s="2">
        <v>12.8743978986</v>
      </c>
      <c r="O146" s="2">
        <v>4.0199999999999996E-6</v>
      </c>
      <c r="P146" s="2">
        <v>6914582</v>
      </c>
      <c r="Q146" s="2">
        <v>545</v>
      </c>
    </row>
    <row r="147" spans="1:17" x14ac:dyDescent="0.25">
      <c r="A147" s="1">
        <v>43463</v>
      </c>
      <c r="B147" s="2">
        <v>14806389.3869</v>
      </c>
      <c r="C147" s="2">
        <v>11364216.7611</v>
      </c>
      <c r="D147" s="2" t="s">
        <v>5408</v>
      </c>
      <c r="E147" s="2">
        <v>719808334.36000001</v>
      </c>
      <c r="F147" s="2">
        <v>84.36</v>
      </c>
      <c r="G147" s="2">
        <v>107080371</v>
      </c>
      <c r="H147" s="2">
        <v>2205073454.5799999</v>
      </c>
      <c r="I147" s="2">
        <v>1823.3510244500001</v>
      </c>
      <c r="J147" s="2">
        <v>2.7138565099999998</v>
      </c>
      <c r="K147" s="2">
        <v>44625</v>
      </c>
      <c r="L147" s="2">
        <v>62074070.034500003</v>
      </c>
      <c r="M147" s="2" t="s">
        <v>5409</v>
      </c>
      <c r="N147" s="2">
        <v>13.810055098799999</v>
      </c>
      <c r="O147" s="2">
        <v>4.0799999999999999E-6</v>
      </c>
      <c r="P147" s="2">
        <v>8215810</v>
      </c>
      <c r="Q147" s="2">
        <v>545</v>
      </c>
    </row>
    <row r="148" spans="1:17" x14ac:dyDescent="0.25">
      <c r="A148" s="1">
        <v>43462</v>
      </c>
      <c r="B148" s="2">
        <v>11519686.7194</v>
      </c>
      <c r="C148" s="2">
        <v>8264667.7999400003</v>
      </c>
      <c r="D148" s="2" t="s">
        <v>5410</v>
      </c>
      <c r="E148" s="2">
        <v>650596945.278</v>
      </c>
      <c r="F148" s="2">
        <v>76.260000000000005</v>
      </c>
      <c r="G148" s="2">
        <v>121544934</v>
      </c>
      <c r="H148" s="2">
        <v>2209494026.6900001</v>
      </c>
      <c r="I148" s="2">
        <v>1826.69662266</v>
      </c>
      <c r="J148" s="2">
        <v>3.3026667299999999</v>
      </c>
      <c r="K148" s="2">
        <v>46510</v>
      </c>
      <c r="L148" s="2">
        <v>66900797.905100003</v>
      </c>
      <c r="M148" s="2" t="s">
        <v>5411</v>
      </c>
      <c r="N148" s="2">
        <v>12.365391990599999</v>
      </c>
      <c r="O148" s="2">
        <v>4.0199999999999996E-6</v>
      </c>
      <c r="P148" s="2">
        <v>7818717</v>
      </c>
      <c r="Q148" s="2">
        <v>546</v>
      </c>
    </row>
    <row r="149" spans="1:17" x14ac:dyDescent="0.25">
      <c r="A149" s="1">
        <v>43461</v>
      </c>
      <c r="B149" s="2">
        <v>20969319.743000001</v>
      </c>
      <c r="C149" s="2">
        <v>11665972.860200001</v>
      </c>
      <c r="D149" s="2" t="s">
        <v>5412</v>
      </c>
      <c r="E149" s="2">
        <v>720005956.57799995</v>
      </c>
      <c r="F149" s="2">
        <v>84.41</v>
      </c>
      <c r="G149" s="2">
        <v>135210655</v>
      </c>
      <c r="H149" s="2">
        <v>2210718206.6199999</v>
      </c>
      <c r="I149" s="2">
        <v>1843.4246137099999</v>
      </c>
      <c r="J149" s="2">
        <v>3.3262109</v>
      </c>
      <c r="K149" s="2">
        <v>41833</v>
      </c>
      <c r="L149" s="2">
        <v>64436095.433799997</v>
      </c>
      <c r="M149" s="2" t="s">
        <v>5413</v>
      </c>
      <c r="N149" s="2">
        <v>14.760901626800001</v>
      </c>
      <c r="O149" s="2">
        <v>4.0199999999999996E-6</v>
      </c>
      <c r="P149" s="2">
        <v>6855509</v>
      </c>
      <c r="Q149" s="2">
        <v>551</v>
      </c>
    </row>
    <row r="150" spans="1:17" x14ac:dyDescent="0.25">
      <c r="A150" s="1">
        <v>43460</v>
      </c>
      <c r="B150" s="2">
        <v>8305306.2892300002</v>
      </c>
      <c r="C150" s="2">
        <v>6656213.9256499996</v>
      </c>
      <c r="D150" s="2" t="s">
        <v>5414</v>
      </c>
      <c r="E150" s="2">
        <v>716301982.49600005</v>
      </c>
      <c r="F150" s="2">
        <v>84</v>
      </c>
      <c r="G150" s="2">
        <v>128734179</v>
      </c>
      <c r="H150" s="2">
        <v>2214559451.6900001</v>
      </c>
      <c r="I150" s="2">
        <v>1850.11581013</v>
      </c>
      <c r="J150" s="2">
        <v>2.6317196799999998</v>
      </c>
      <c r="K150" s="2">
        <v>37030</v>
      </c>
      <c r="L150" s="2">
        <v>61913115.337800004</v>
      </c>
      <c r="M150" s="2" t="s">
        <v>5415</v>
      </c>
      <c r="N150" s="2">
        <v>13.241920439999999</v>
      </c>
      <c r="O150" s="2">
        <v>5.2100000000000001E-6</v>
      </c>
      <c r="P150" s="2">
        <v>6140939</v>
      </c>
      <c r="Q150" s="2">
        <v>553</v>
      </c>
    </row>
    <row r="151" spans="1:17" x14ac:dyDescent="0.25">
      <c r="A151" s="1">
        <v>43459</v>
      </c>
      <c r="B151" s="2">
        <v>13151755.946699999</v>
      </c>
      <c r="C151" s="2">
        <v>9912980.8575899992</v>
      </c>
      <c r="D151" s="2" t="s">
        <v>5416</v>
      </c>
      <c r="E151" s="2">
        <v>790811446.11300004</v>
      </c>
      <c r="F151" s="2">
        <v>92.76</v>
      </c>
      <c r="G151" s="2">
        <v>128516889</v>
      </c>
      <c r="H151" s="2">
        <v>2215536615.0100002</v>
      </c>
      <c r="I151" s="2">
        <v>1826.69662266</v>
      </c>
      <c r="J151" s="2">
        <v>3.0143764800000001</v>
      </c>
      <c r="K151" s="2">
        <v>36200</v>
      </c>
      <c r="L151" s="2">
        <v>50140939.7456</v>
      </c>
      <c r="M151" s="2" t="s">
        <v>5417</v>
      </c>
      <c r="N151" s="2">
        <v>19.479794796</v>
      </c>
      <c r="O151" s="2">
        <v>3.7400000000000002E-6</v>
      </c>
      <c r="P151" s="2">
        <v>6452329</v>
      </c>
      <c r="Q151" s="2">
        <v>546</v>
      </c>
    </row>
    <row r="152" spans="1:17" x14ac:dyDescent="0.25">
      <c r="A152" s="1">
        <v>43458</v>
      </c>
      <c r="B152" s="2">
        <v>13084799.8781</v>
      </c>
      <c r="C152" s="2">
        <v>9518662.1441500001</v>
      </c>
      <c r="D152" s="2" t="s">
        <v>5418</v>
      </c>
      <c r="E152" s="2">
        <v>769563052.24199998</v>
      </c>
      <c r="F152" s="2">
        <v>90.28</v>
      </c>
      <c r="G152" s="2">
        <v>164735127</v>
      </c>
      <c r="H152" s="2">
        <v>2218398391.4200001</v>
      </c>
      <c r="I152" s="2">
        <v>1846.7702119200001</v>
      </c>
      <c r="J152" s="2">
        <v>3.9569189300000001</v>
      </c>
      <c r="K152" s="2">
        <v>45016</v>
      </c>
      <c r="L152" s="2">
        <v>61363996.019900002</v>
      </c>
      <c r="M152" s="2" t="s">
        <v>5419</v>
      </c>
      <c r="N152" s="2">
        <v>15.1246472204</v>
      </c>
      <c r="O152" s="2">
        <v>3.7400000000000002E-6</v>
      </c>
      <c r="P152" s="2">
        <v>8016443</v>
      </c>
      <c r="Q152" s="2">
        <v>552</v>
      </c>
    </row>
    <row r="153" spans="1:17" x14ac:dyDescent="0.25">
      <c r="A153" s="1">
        <v>43457</v>
      </c>
      <c r="B153" s="2">
        <v>10060740.0626</v>
      </c>
      <c r="C153" s="2">
        <v>7698793.3830199996</v>
      </c>
      <c r="D153" s="2" t="s">
        <v>5420</v>
      </c>
      <c r="E153" s="2">
        <v>746663528.11500001</v>
      </c>
      <c r="F153" s="2">
        <v>87.62</v>
      </c>
      <c r="G153" s="2">
        <v>131821218</v>
      </c>
      <c r="H153" s="2">
        <v>2221171154.3200002</v>
      </c>
      <c r="I153" s="2">
        <v>1836.73341729</v>
      </c>
      <c r="J153" s="2">
        <v>2.8713462700000001</v>
      </c>
      <c r="K153" s="2">
        <v>36238</v>
      </c>
      <c r="L153" s="2">
        <v>64071091.077299997</v>
      </c>
      <c r="M153" s="2" t="s">
        <v>5421</v>
      </c>
      <c r="N153" s="2">
        <v>14.895548954000001</v>
      </c>
      <c r="O153" s="2">
        <v>3.7400000000000002E-6</v>
      </c>
      <c r="P153" s="2">
        <v>6632126</v>
      </c>
      <c r="Q153" s="2">
        <v>549</v>
      </c>
    </row>
    <row r="154" spans="1:17" x14ac:dyDescent="0.25">
      <c r="A154" s="1">
        <v>43456</v>
      </c>
      <c r="B154" s="2">
        <v>11654450.761700001</v>
      </c>
      <c r="C154" s="2">
        <v>8296260.6884300001</v>
      </c>
      <c r="D154" s="2" t="s">
        <v>5422</v>
      </c>
      <c r="E154" s="2">
        <v>730212246.61500001</v>
      </c>
      <c r="F154" s="2">
        <v>85.7</v>
      </c>
      <c r="G154" s="2">
        <v>147573455</v>
      </c>
      <c r="H154" s="2">
        <v>2225502273.8200002</v>
      </c>
      <c r="I154" s="2">
        <v>1830.0422208699999</v>
      </c>
      <c r="J154" s="2">
        <v>3.3317085099999999</v>
      </c>
      <c r="K154" s="2">
        <v>41905</v>
      </c>
      <c r="L154" s="2">
        <v>68224826.407900006</v>
      </c>
      <c r="M154" s="2" t="s">
        <v>5423</v>
      </c>
      <c r="N154" s="2">
        <v>13.71213712</v>
      </c>
      <c r="O154" s="2">
        <v>5.22E-6</v>
      </c>
      <c r="P154" s="2">
        <v>7619725</v>
      </c>
      <c r="Q154" s="2">
        <v>547</v>
      </c>
    </row>
    <row r="155" spans="1:17" x14ac:dyDescent="0.25">
      <c r="A155" s="1">
        <v>43455</v>
      </c>
      <c r="B155" s="2">
        <v>20837284.820700001</v>
      </c>
      <c r="C155" s="2">
        <v>14482637.148</v>
      </c>
      <c r="D155" s="2" t="s">
        <v>5424</v>
      </c>
      <c r="E155" s="2">
        <v>822234999.86699998</v>
      </c>
      <c r="F155" s="2">
        <v>96.52</v>
      </c>
      <c r="G155" s="2">
        <v>160660461</v>
      </c>
      <c r="H155" s="2">
        <v>2227791897.8000002</v>
      </c>
      <c r="I155" s="2">
        <v>1840.0790155</v>
      </c>
      <c r="J155" s="2">
        <v>4.6437414300000004</v>
      </c>
      <c r="K155" s="2">
        <v>49006</v>
      </c>
      <c r="L155" s="2">
        <v>73122258.190200001</v>
      </c>
      <c r="M155" s="2" t="s">
        <v>5425</v>
      </c>
      <c r="N155" s="2">
        <v>18.338983387999999</v>
      </c>
      <c r="O155" s="2">
        <v>4.5199999999999999E-6</v>
      </c>
      <c r="P155" s="2">
        <v>9563121</v>
      </c>
      <c r="Q155" s="2">
        <v>550</v>
      </c>
    </row>
    <row r="156" spans="1:17" x14ac:dyDescent="0.25">
      <c r="A156" s="1">
        <v>43454</v>
      </c>
      <c r="B156" s="2">
        <v>15130754.842399999</v>
      </c>
      <c r="C156" s="2">
        <v>9832035.0246699993</v>
      </c>
      <c r="D156" s="2" t="s">
        <v>5426</v>
      </c>
      <c r="E156" s="2">
        <v>632173377.39300001</v>
      </c>
      <c r="F156" s="2">
        <v>74.23</v>
      </c>
      <c r="G156" s="2">
        <v>184639844</v>
      </c>
      <c r="H156" s="2">
        <v>2231187462.7800002</v>
      </c>
      <c r="I156" s="2">
        <v>1856.8070065500001</v>
      </c>
      <c r="J156" s="2">
        <v>4.19188311</v>
      </c>
      <c r="K156" s="2">
        <v>44597</v>
      </c>
      <c r="L156" s="2">
        <v>63250979.922200002</v>
      </c>
      <c r="M156" s="2" t="s">
        <v>5427</v>
      </c>
      <c r="N156" s="2">
        <v>15.3623854488</v>
      </c>
      <c r="O156" s="2">
        <v>5.2000000000000002E-6</v>
      </c>
      <c r="P156" s="2">
        <v>7712941</v>
      </c>
      <c r="Q156" s="2">
        <v>555</v>
      </c>
    </row>
    <row r="157" spans="1:17" x14ac:dyDescent="0.25">
      <c r="A157" s="1">
        <v>43453</v>
      </c>
      <c r="B157" s="2">
        <v>12642200.970899999</v>
      </c>
      <c r="C157" s="2">
        <v>8522478.3796500005</v>
      </c>
      <c r="D157" s="2" t="s">
        <v>5428</v>
      </c>
      <c r="E157" s="2">
        <v>626900677.58800006</v>
      </c>
      <c r="F157" s="2">
        <v>73.63</v>
      </c>
      <c r="G157" s="2">
        <v>147010895</v>
      </c>
      <c r="H157" s="2">
        <v>2231476501.7800002</v>
      </c>
      <c r="I157" s="2">
        <v>1843.4246137099999</v>
      </c>
      <c r="J157" s="2">
        <v>4.2393413500000001</v>
      </c>
      <c r="K157" s="2">
        <v>48454</v>
      </c>
      <c r="L157" s="2">
        <v>61859285.0277</v>
      </c>
      <c r="M157" s="2" t="s">
        <v>5429</v>
      </c>
      <c r="N157" s="2">
        <v>13.989839897</v>
      </c>
      <c r="O157" s="2">
        <v>3.7400000000000002E-6</v>
      </c>
      <c r="P157" s="2">
        <v>8597344</v>
      </c>
      <c r="Q157" s="2">
        <v>551</v>
      </c>
    </row>
    <row r="158" spans="1:17" x14ac:dyDescent="0.25">
      <c r="A158" s="1">
        <v>43452</v>
      </c>
      <c r="B158" s="2">
        <v>8579660.3581700008</v>
      </c>
      <c r="C158" s="2">
        <v>6084973.6730399998</v>
      </c>
      <c r="D158" s="2" t="s">
        <v>5430</v>
      </c>
      <c r="E158" s="2">
        <v>606865005.69700003</v>
      </c>
      <c r="F158" s="2">
        <v>71.290000000000006</v>
      </c>
      <c r="G158" s="2">
        <v>119681350</v>
      </c>
      <c r="H158" s="2">
        <v>2234266055.7399998</v>
      </c>
      <c r="I158" s="2">
        <v>1816.65982803</v>
      </c>
      <c r="J158" s="2">
        <v>3.1385785400000001</v>
      </c>
      <c r="K158" s="2">
        <v>46100</v>
      </c>
      <c r="L158" s="2">
        <v>63432170.706100002</v>
      </c>
      <c r="M158" s="2" t="s">
        <v>5431</v>
      </c>
      <c r="N158" s="2">
        <v>13.6955439999</v>
      </c>
      <c r="O158" s="2">
        <v>3.7400000000000002E-6</v>
      </c>
      <c r="P158" s="2">
        <v>7847980</v>
      </c>
      <c r="Q158" s="2">
        <v>543</v>
      </c>
    </row>
    <row r="159" spans="1:17" x14ac:dyDescent="0.25">
      <c r="A159" s="1">
        <v>43451</v>
      </c>
      <c r="B159" s="2">
        <v>7268262.3630999997</v>
      </c>
      <c r="C159" s="2">
        <v>5287227.9846099997</v>
      </c>
      <c r="D159" s="2" t="s">
        <v>5432</v>
      </c>
      <c r="E159" s="2">
        <v>537817189.12300003</v>
      </c>
      <c r="F159" s="2">
        <v>63.19</v>
      </c>
      <c r="G159" s="2">
        <v>141113375</v>
      </c>
      <c r="H159" s="2">
        <v>2235702864.6199999</v>
      </c>
      <c r="I159" s="2">
        <v>1833.3878190800001</v>
      </c>
      <c r="J159" s="2">
        <v>3.79690482</v>
      </c>
      <c r="K159" s="2">
        <v>50378</v>
      </c>
      <c r="L159" s="2">
        <v>61224048.183300003</v>
      </c>
      <c r="M159" s="2" t="s">
        <v>5433</v>
      </c>
      <c r="N159" s="2">
        <v>12.006220061</v>
      </c>
      <c r="O159" s="2">
        <v>3.7400000000000002E-6</v>
      </c>
      <c r="P159" s="2">
        <v>8664817</v>
      </c>
      <c r="Q159" s="2">
        <v>548</v>
      </c>
    </row>
    <row r="160" spans="1:17" x14ac:dyDescent="0.25">
      <c r="A160" s="1">
        <v>43450</v>
      </c>
      <c r="B160" s="2">
        <v>6250269.5594499996</v>
      </c>
      <c r="C160" s="2">
        <v>4104713.7491600001</v>
      </c>
      <c r="D160" s="2" t="s">
        <v>5434</v>
      </c>
      <c r="E160" s="2">
        <v>531929085.57499999</v>
      </c>
      <c r="F160" s="2">
        <v>62.51</v>
      </c>
      <c r="G160" s="2">
        <v>106671272</v>
      </c>
      <c r="H160" s="2">
        <v>2237202006.4200001</v>
      </c>
      <c r="I160" s="2">
        <v>1846.7702119200001</v>
      </c>
      <c r="J160" s="2">
        <v>3.2293361799999998</v>
      </c>
      <c r="K160" s="2">
        <v>49205</v>
      </c>
      <c r="L160" s="2">
        <v>60494903.340000004</v>
      </c>
      <c r="M160" s="2" t="s">
        <v>5435</v>
      </c>
      <c r="N160" s="2">
        <v>11.877018768999999</v>
      </c>
      <c r="O160" s="2">
        <v>3.7400000000000002E-6</v>
      </c>
      <c r="P160" s="2">
        <v>8262341</v>
      </c>
      <c r="Q160" s="2">
        <v>552</v>
      </c>
    </row>
    <row r="161" spans="1:17" x14ac:dyDescent="0.25">
      <c r="A161" s="1">
        <v>43449</v>
      </c>
      <c r="B161" s="2">
        <v>8902302.7758499999</v>
      </c>
      <c r="C161" s="2">
        <v>5584043.5100299995</v>
      </c>
      <c r="D161" s="2" t="s">
        <v>5436</v>
      </c>
      <c r="E161" s="2">
        <v>508356280.81</v>
      </c>
      <c r="F161" s="2">
        <v>59.76</v>
      </c>
      <c r="G161" s="2">
        <v>112585020</v>
      </c>
      <c r="H161" s="2">
        <v>2238426564.5300002</v>
      </c>
      <c r="I161" s="2">
        <v>1843.4246137099999</v>
      </c>
      <c r="J161" s="2">
        <v>3.6591071400000001</v>
      </c>
      <c r="K161" s="2">
        <v>60107</v>
      </c>
      <c r="L161" s="2">
        <v>59435039.998899996</v>
      </c>
      <c r="M161" s="2" t="s">
        <v>5437</v>
      </c>
      <c r="N161" s="2">
        <v>13.9638956976</v>
      </c>
      <c r="O161" s="2">
        <v>3.7299999999999999E-6</v>
      </c>
      <c r="P161" s="2">
        <v>10043888</v>
      </c>
      <c r="Q161" s="2">
        <v>551</v>
      </c>
    </row>
    <row r="162" spans="1:17" x14ac:dyDescent="0.25">
      <c r="A162" s="1">
        <v>43448</v>
      </c>
      <c r="B162" s="2">
        <v>8863885.2482399996</v>
      </c>
      <c r="C162" s="2">
        <v>6135769.3689999999</v>
      </c>
      <c r="D162" s="2" t="s">
        <v>5438</v>
      </c>
      <c r="E162" s="2">
        <v>520470351.00700003</v>
      </c>
      <c r="F162" s="2">
        <v>61.19</v>
      </c>
      <c r="G162" s="2">
        <v>88936827</v>
      </c>
      <c r="H162" s="2">
        <v>2241677890.5300002</v>
      </c>
      <c r="I162" s="2">
        <v>1830.0422208699999</v>
      </c>
      <c r="J162" s="2">
        <v>3.13950117</v>
      </c>
      <c r="K162" s="2">
        <v>53816</v>
      </c>
      <c r="L162" s="2">
        <v>53807826.556400001</v>
      </c>
      <c r="M162" s="2" t="s">
        <v>5439</v>
      </c>
      <c r="N162" s="2">
        <v>13.534413561099999</v>
      </c>
      <c r="O162" s="2">
        <v>3.7400000000000002E-6</v>
      </c>
      <c r="P162" s="2">
        <v>8619107</v>
      </c>
      <c r="Q162" s="2">
        <v>547</v>
      </c>
    </row>
    <row r="163" spans="1:17" x14ac:dyDescent="0.25">
      <c r="A163" s="1">
        <v>43447</v>
      </c>
      <c r="B163" s="2">
        <v>9846367.3314500004</v>
      </c>
      <c r="C163" s="2">
        <v>6527815.9367000004</v>
      </c>
      <c r="D163" s="2" t="s">
        <v>5440</v>
      </c>
      <c r="E163" s="2">
        <v>557587981.78799999</v>
      </c>
      <c r="F163" s="2">
        <v>65.569999999999993</v>
      </c>
      <c r="G163" s="2">
        <v>114651080</v>
      </c>
      <c r="H163" s="2">
        <v>2245674291.71</v>
      </c>
      <c r="I163" s="2">
        <v>1813.31422982</v>
      </c>
      <c r="J163" s="2">
        <v>3.2825108699999999</v>
      </c>
      <c r="K163" s="2">
        <v>39231</v>
      </c>
      <c r="L163" s="2">
        <v>55841575.6193</v>
      </c>
      <c r="M163" s="2" t="s">
        <v>5441</v>
      </c>
      <c r="N163" s="2">
        <v>13.544093956699999</v>
      </c>
      <c r="O163" s="2">
        <v>4.42E-6</v>
      </c>
      <c r="P163" s="2">
        <v>6272314</v>
      </c>
      <c r="Q163" s="2">
        <v>542</v>
      </c>
    </row>
    <row r="164" spans="1:17" x14ac:dyDescent="0.25">
      <c r="A164" s="1">
        <v>43446</v>
      </c>
      <c r="B164" s="2">
        <v>8393325.6769299991</v>
      </c>
      <c r="C164" s="2">
        <v>5318869.2955099996</v>
      </c>
      <c r="D164" s="2" t="s">
        <v>5442</v>
      </c>
      <c r="E164" s="2">
        <v>544407989.45700002</v>
      </c>
      <c r="F164" s="2">
        <v>64.03</v>
      </c>
      <c r="G164" s="2">
        <v>99204303</v>
      </c>
      <c r="H164" s="2">
        <v>2251733029.4099998</v>
      </c>
      <c r="I164" s="2">
        <v>1840.0790155</v>
      </c>
      <c r="J164" s="2">
        <v>3.1366806999999999</v>
      </c>
      <c r="K164" s="2">
        <v>47710</v>
      </c>
      <c r="L164" s="2">
        <v>55119039.848300003</v>
      </c>
      <c r="M164" s="2" t="s">
        <v>5443</v>
      </c>
      <c r="N164" s="2">
        <v>12.7763835638</v>
      </c>
      <c r="O164" s="2">
        <v>3.7400000000000002E-6</v>
      </c>
      <c r="P164" s="2">
        <v>8173285</v>
      </c>
      <c r="Q164" s="2">
        <v>550</v>
      </c>
    </row>
    <row r="165" spans="1:17" x14ac:dyDescent="0.25">
      <c r="A165" s="1">
        <v>43445</v>
      </c>
      <c r="B165" s="2">
        <v>9688466.1817499995</v>
      </c>
      <c r="C165" s="2">
        <v>6762597.8875099998</v>
      </c>
      <c r="D165" s="2" t="s">
        <v>5444</v>
      </c>
      <c r="E165" s="2">
        <v>584821774.32500005</v>
      </c>
      <c r="F165" s="2">
        <v>68.8</v>
      </c>
      <c r="G165" s="2">
        <v>156411314</v>
      </c>
      <c r="H165" s="2">
        <v>2254643352.9000001</v>
      </c>
      <c r="I165" s="2">
        <v>1843.4246137099999</v>
      </c>
      <c r="J165" s="2">
        <v>4.13544219</v>
      </c>
      <c r="K165" s="2">
        <v>46052</v>
      </c>
      <c r="L165" s="2">
        <v>52624911.078100003</v>
      </c>
      <c r="M165" s="2" t="s">
        <v>5445</v>
      </c>
      <c r="N165" s="2">
        <v>13.072130720000001</v>
      </c>
      <c r="O165" s="2">
        <v>3.7400000000000002E-6</v>
      </c>
      <c r="P165" s="2">
        <v>7635475</v>
      </c>
      <c r="Q165" s="2">
        <v>551</v>
      </c>
    </row>
    <row r="166" spans="1:17" x14ac:dyDescent="0.25">
      <c r="A166" s="1">
        <v>43444</v>
      </c>
      <c r="B166" s="2">
        <v>9318339.9970900007</v>
      </c>
      <c r="C166" s="2">
        <v>6696426.6437799996</v>
      </c>
      <c r="D166" s="2" t="s">
        <v>5446</v>
      </c>
      <c r="E166" s="2">
        <v>649068391.90999997</v>
      </c>
      <c r="F166" s="2">
        <v>76.38</v>
      </c>
      <c r="G166" s="2">
        <v>150275092</v>
      </c>
      <c r="H166" s="2">
        <v>2260278126.1900001</v>
      </c>
      <c r="I166" s="2">
        <v>1850.11581013</v>
      </c>
      <c r="J166" s="2">
        <v>2.82267205</v>
      </c>
      <c r="K166" s="2">
        <v>56355</v>
      </c>
      <c r="L166" s="2">
        <v>54822847.663500004</v>
      </c>
      <c r="M166" s="2" t="s">
        <v>5447</v>
      </c>
      <c r="N166" s="2">
        <v>1.192184868</v>
      </c>
      <c r="O166" s="2">
        <v>5.0000000000000004E-6</v>
      </c>
      <c r="P166" s="2">
        <v>8678137</v>
      </c>
      <c r="Q166" s="2">
        <v>553</v>
      </c>
    </row>
    <row r="167" spans="1:17" x14ac:dyDescent="0.25">
      <c r="A167" s="1">
        <v>43443</v>
      </c>
      <c r="B167" s="2">
        <v>8118961.49823</v>
      </c>
      <c r="C167" s="2">
        <v>6139901.4186100001</v>
      </c>
      <c r="D167" s="2" t="s">
        <v>5448</v>
      </c>
      <c r="E167" s="2">
        <v>584598818.39199996</v>
      </c>
      <c r="F167" s="2">
        <v>68.81</v>
      </c>
      <c r="G167" s="2">
        <v>156384716</v>
      </c>
      <c r="H167" s="2">
        <v>2262491946.0700002</v>
      </c>
      <c r="I167" s="2">
        <v>1840.0790155</v>
      </c>
      <c r="J167" s="2">
        <v>2.8153364000000001</v>
      </c>
      <c r="K167" s="2">
        <v>43753</v>
      </c>
      <c r="L167" s="2">
        <v>49800605.560800001</v>
      </c>
      <c r="M167" s="2" t="s">
        <v>5449</v>
      </c>
      <c r="N167" s="2">
        <v>12.131377777399999</v>
      </c>
      <c r="O167" s="2">
        <v>3.7400000000000002E-6</v>
      </c>
      <c r="P167" s="2">
        <v>7281833</v>
      </c>
      <c r="Q167" s="2">
        <v>550</v>
      </c>
    </row>
    <row r="168" spans="1:17" x14ac:dyDescent="0.25">
      <c r="A168" s="1">
        <v>43442</v>
      </c>
      <c r="B168" s="2">
        <v>11644175.0129</v>
      </c>
      <c r="C168" s="2">
        <v>6909976.9263599999</v>
      </c>
      <c r="D168" s="2" t="s">
        <v>5450</v>
      </c>
      <c r="E168" s="2">
        <v>575743395.00600004</v>
      </c>
      <c r="F168" s="2">
        <v>67.78</v>
      </c>
      <c r="G168" s="2">
        <v>155676914</v>
      </c>
      <c r="H168" s="2">
        <v>2265419926.02</v>
      </c>
      <c r="I168" s="2">
        <v>1826.69662266</v>
      </c>
      <c r="J168" s="2">
        <v>3.0139043600000002</v>
      </c>
      <c r="K168" s="2">
        <v>43933</v>
      </c>
      <c r="L168" s="2">
        <v>47936238.391599998</v>
      </c>
      <c r="M168" s="2" t="s">
        <v>5451</v>
      </c>
      <c r="N168" s="2">
        <v>11.522715226000001</v>
      </c>
      <c r="O168" s="2">
        <v>3.7400000000000002E-6</v>
      </c>
      <c r="P168" s="2">
        <v>7499781</v>
      </c>
      <c r="Q168" s="2">
        <v>546</v>
      </c>
    </row>
    <row r="169" spans="1:17" x14ac:dyDescent="0.25">
      <c r="A169" s="1">
        <v>43441</v>
      </c>
      <c r="B169" s="2">
        <v>13426497.9572</v>
      </c>
      <c r="C169" s="2">
        <v>9019531.8612699993</v>
      </c>
      <c r="D169" s="2" t="s">
        <v>5452</v>
      </c>
      <c r="E169" s="2">
        <v>561173931.55200005</v>
      </c>
      <c r="F169" s="2">
        <v>66.08</v>
      </c>
      <c r="G169" s="2">
        <v>177956763</v>
      </c>
      <c r="H169" s="2">
        <v>2267155624.0500002</v>
      </c>
      <c r="I169" s="2">
        <v>1813.31422982</v>
      </c>
      <c r="J169" s="2">
        <v>4.59529897</v>
      </c>
      <c r="K169" s="2">
        <v>51132</v>
      </c>
      <c r="L169" s="2">
        <v>61426154.072999999</v>
      </c>
      <c r="M169" s="2" t="s">
        <v>5453</v>
      </c>
      <c r="N169" s="2">
        <v>11.894518944</v>
      </c>
      <c r="O169" s="2">
        <v>3.76E-6</v>
      </c>
      <c r="P169" s="2">
        <v>8910833</v>
      </c>
      <c r="Q169" s="2">
        <v>542</v>
      </c>
    </row>
    <row r="170" spans="1:17" x14ac:dyDescent="0.25">
      <c r="A170" s="1">
        <v>43440</v>
      </c>
      <c r="B170" s="2">
        <v>15608236.570499999</v>
      </c>
      <c r="C170" s="2">
        <v>11207727.888800001</v>
      </c>
      <c r="D170" s="2" t="s">
        <v>5454</v>
      </c>
      <c r="E170" s="2">
        <v>661348716.38699996</v>
      </c>
      <c r="F170" s="2">
        <v>77.89</v>
      </c>
      <c r="G170" s="2">
        <v>180559293</v>
      </c>
      <c r="H170" s="2">
        <v>2274823679.6799998</v>
      </c>
      <c r="I170" s="2">
        <v>1830.0422208699999</v>
      </c>
      <c r="J170" s="2">
        <v>3.7413353300000001</v>
      </c>
      <c r="K170" s="2">
        <v>54411</v>
      </c>
      <c r="L170" s="2">
        <v>78393687.513500005</v>
      </c>
      <c r="M170" s="2" t="s">
        <v>5455</v>
      </c>
      <c r="N170" s="2">
        <v>13.1972796876</v>
      </c>
      <c r="O170" s="2">
        <v>3.7299999999999999E-6</v>
      </c>
      <c r="P170" s="2">
        <v>9346451</v>
      </c>
      <c r="Q170" s="2">
        <v>547</v>
      </c>
    </row>
    <row r="171" spans="1:17" x14ac:dyDescent="0.25">
      <c r="A171" s="1">
        <v>43439</v>
      </c>
      <c r="B171" s="2">
        <v>9428542.8643299993</v>
      </c>
      <c r="C171" s="2">
        <v>6468832.2801599996</v>
      </c>
      <c r="D171" s="2" t="s">
        <v>5456</v>
      </c>
      <c r="E171" s="2">
        <v>726773694.18799996</v>
      </c>
      <c r="F171" s="2">
        <v>85.61</v>
      </c>
      <c r="G171" s="2">
        <v>207834874</v>
      </c>
      <c r="H171" s="2">
        <v>2281116532.9099998</v>
      </c>
      <c r="I171" s="2">
        <v>1843.4246137099999</v>
      </c>
      <c r="J171" s="2">
        <v>3.00829141</v>
      </c>
      <c r="K171" s="2">
        <v>58488</v>
      </c>
      <c r="L171" s="2">
        <v>75647690.405499995</v>
      </c>
      <c r="M171" s="2" t="s">
        <v>5457</v>
      </c>
      <c r="N171" s="2">
        <v>12.841628415000001</v>
      </c>
      <c r="O171" s="2">
        <v>3.72E-6</v>
      </c>
      <c r="P171" s="2">
        <v>9565625</v>
      </c>
      <c r="Q171" s="2">
        <v>551</v>
      </c>
    </row>
    <row r="172" spans="1:17" x14ac:dyDescent="0.25">
      <c r="A172" s="1">
        <v>43438</v>
      </c>
      <c r="B172" s="2">
        <v>12017654.9464</v>
      </c>
      <c r="C172" s="2">
        <v>7832262.1225500004</v>
      </c>
      <c r="D172" s="2" t="s">
        <v>5458</v>
      </c>
      <c r="E172" s="2">
        <v>718742213.08700001</v>
      </c>
      <c r="F172" s="2">
        <v>84.69</v>
      </c>
      <c r="G172" s="2">
        <v>174190427</v>
      </c>
      <c r="H172" s="2">
        <v>2283744285.8299999</v>
      </c>
      <c r="I172" s="2">
        <v>1850.11581013</v>
      </c>
      <c r="J172" s="2">
        <v>2.9008750600000002</v>
      </c>
      <c r="K172" s="2">
        <v>46650</v>
      </c>
      <c r="L172" s="2">
        <v>78996292.755400002</v>
      </c>
      <c r="M172" s="2" t="s">
        <v>5459</v>
      </c>
      <c r="N172" s="2">
        <v>13.054554447299999</v>
      </c>
      <c r="O172" s="2">
        <v>3.7299999999999999E-6</v>
      </c>
      <c r="P172" s="2">
        <v>7426136</v>
      </c>
      <c r="Q172" s="2">
        <v>553</v>
      </c>
    </row>
    <row r="173" spans="1:17" x14ac:dyDescent="0.25">
      <c r="A173" s="1">
        <v>43437</v>
      </c>
      <c r="B173" s="2">
        <v>12926290.0777</v>
      </c>
      <c r="C173" s="2">
        <v>6005869.9457200002</v>
      </c>
      <c r="D173" s="2" t="s">
        <v>5460</v>
      </c>
      <c r="E173" s="2">
        <v>792453080.48399997</v>
      </c>
      <c r="F173" s="2">
        <v>93.39</v>
      </c>
      <c r="G173" s="2">
        <v>190219025</v>
      </c>
      <c r="H173" s="2">
        <v>2286317058.8499999</v>
      </c>
      <c r="I173" s="2">
        <v>1813.31422982</v>
      </c>
      <c r="J173" s="2">
        <v>3.1597039200000001</v>
      </c>
      <c r="K173" s="2">
        <v>55030</v>
      </c>
      <c r="L173" s="2">
        <v>86696693.877700001</v>
      </c>
      <c r="M173" s="2" t="s">
        <v>5461</v>
      </c>
      <c r="N173" s="2">
        <v>13.683407542199999</v>
      </c>
      <c r="O173" s="2">
        <v>3.4400000000000001E-6</v>
      </c>
      <c r="P173" s="2">
        <v>7968810</v>
      </c>
      <c r="Q173" s="2">
        <v>542</v>
      </c>
    </row>
    <row r="174" spans="1:17" x14ac:dyDescent="0.25">
      <c r="A174" s="1">
        <v>43436</v>
      </c>
      <c r="B174" s="2">
        <v>20350522.660599999</v>
      </c>
      <c r="C174" s="2">
        <v>11751617.3992</v>
      </c>
      <c r="D174" s="2" t="s">
        <v>5462</v>
      </c>
      <c r="E174" s="2">
        <v>806800502.70500004</v>
      </c>
      <c r="F174" s="2">
        <v>95.1</v>
      </c>
      <c r="G174" s="2">
        <v>187696265</v>
      </c>
      <c r="H174" s="2">
        <v>2289475693.7600002</v>
      </c>
      <c r="I174" s="2">
        <v>7968.7702119200003</v>
      </c>
      <c r="J174" s="2">
        <v>2.3902665299999999</v>
      </c>
      <c r="K174" s="2">
        <v>38024</v>
      </c>
      <c r="L174" s="2">
        <v>76707521.530900002</v>
      </c>
      <c r="M174" s="2" t="s">
        <v>5463</v>
      </c>
      <c r="N174" s="2">
        <v>12.36312363</v>
      </c>
      <c r="O174" s="2">
        <v>3.7299999999999999E-6</v>
      </c>
      <c r="P174" s="2">
        <v>6415568</v>
      </c>
      <c r="Q174" s="2">
        <v>552</v>
      </c>
    </row>
    <row r="175" spans="1:17" x14ac:dyDescent="0.25">
      <c r="A175" s="1">
        <v>43435</v>
      </c>
      <c r="B175" s="2">
        <v>7089332.9452299997</v>
      </c>
      <c r="C175" s="2">
        <v>5152238.8968099998</v>
      </c>
      <c r="D175" s="2" t="s">
        <v>5464</v>
      </c>
      <c r="E175" s="2">
        <v>780237921.546</v>
      </c>
      <c r="F175" s="2">
        <v>92.06</v>
      </c>
      <c r="G175" s="2">
        <v>183221199</v>
      </c>
      <c r="H175" s="2">
        <v>2302922595.1399999</v>
      </c>
      <c r="I175" s="2">
        <v>1830.0422208699999</v>
      </c>
      <c r="J175" s="2">
        <v>2.8718683199999999</v>
      </c>
      <c r="K175" s="2">
        <v>43165</v>
      </c>
      <c r="L175" s="2">
        <v>83041245.037300006</v>
      </c>
      <c r="M175" s="2" t="s">
        <v>5465</v>
      </c>
      <c r="N175" s="2">
        <v>11.967919677999999</v>
      </c>
      <c r="O175" s="2">
        <v>3.7400000000000002E-6</v>
      </c>
      <c r="P175" s="2">
        <v>7591651</v>
      </c>
      <c r="Q175" s="2">
        <v>547</v>
      </c>
    </row>
    <row r="176" spans="1:17" x14ac:dyDescent="0.25">
      <c r="A176" s="1">
        <v>43434</v>
      </c>
      <c r="B176" s="2">
        <v>9869111.0586900003</v>
      </c>
      <c r="C176" s="2">
        <v>6076040.3690499999</v>
      </c>
      <c r="D176" s="2" t="s">
        <v>5466</v>
      </c>
      <c r="E176" s="2">
        <v>820346056.324</v>
      </c>
      <c r="F176" s="2">
        <v>96.81</v>
      </c>
      <c r="G176" s="2">
        <v>170464251</v>
      </c>
      <c r="H176" s="2">
        <v>2302991712.3499999</v>
      </c>
      <c r="I176" s="2">
        <v>1836.73341729</v>
      </c>
      <c r="J176" s="2">
        <v>2.5450986100000001</v>
      </c>
      <c r="K176" s="2">
        <v>37989</v>
      </c>
      <c r="L176" s="2">
        <v>79131699.288200006</v>
      </c>
      <c r="M176" s="2" t="s">
        <v>5467</v>
      </c>
      <c r="N176" s="2">
        <v>12.585425853</v>
      </c>
      <c r="O176" s="2">
        <v>3.7400000000000002E-6</v>
      </c>
      <c r="P176" s="2">
        <v>6458182</v>
      </c>
      <c r="Q176" s="2">
        <v>549</v>
      </c>
    </row>
    <row r="177" spans="1:17" x14ac:dyDescent="0.25">
      <c r="A177" s="1">
        <v>43433</v>
      </c>
      <c r="B177" s="2">
        <v>17118441.563299999</v>
      </c>
      <c r="C177" s="2">
        <v>8994744.2553400006</v>
      </c>
      <c r="D177" s="2" t="s">
        <v>5468</v>
      </c>
      <c r="E177" s="2">
        <v>846029483.73800004</v>
      </c>
      <c r="F177" s="2">
        <v>99.86</v>
      </c>
      <c r="G177" s="2">
        <v>165236103</v>
      </c>
      <c r="H177" s="2">
        <v>2304645663.7399998</v>
      </c>
      <c r="I177" s="2">
        <v>1813.31422982</v>
      </c>
      <c r="J177" s="2">
        <v>3.3935550800000001</v>
      </c>
      <c r="K177" s="2">
        <v>40399</v>
      </c>
      <c r="L177" s="2">
        <v>90619135.229000002</v>
      </c>
      <c r="M177" s="2" t="s">
        <v>5469</v>
      </c>
      <c r="N177" s="2">
        <v>13.406927986399999</v>
      </c>
      <c r="O177" s="2">
        <v>3.7400000000000002E-6</v>
      </c>
      <c r="P177" s="2">
        <v>7268287</v>
      </c>
      <c r="Q177" s="2">
        <v>542</v>
      </c>
    </row>
    <row r="178" spans="1:17" x14ac:dyDescent="0.25">
      <c r="A178" s="1">
        <v>43432</v>
      </c>
      <c r="B178" s="2">
        <v>11472950.064200001</v>
      </c>
      <c r="C178" s="2">
        <v>8829907.5689800009</v>
      </c>
      <c r="D178" s="2" t="s">
        <v>5470</v>
      </c>
      <c r="E178" s="2">
        <v>755227662.77499998</v>
      </c>
      <c r="F178" s="2">
        <v>89.16</v>
      </c>
      <c r="G178" s="2">
        <v>199504000</v>
      </c>
      <c r="H178" s="2">
        <v>2307235133.7399998</v>
      </c>
      <c r="I178" s="2">
        <v>1833.3878190800001</v>
      </c>
      <c r="J178" s="2">
        <v>3.12906437</v>
      </c>
      <c r="K178" s="2">
        <v>39465</v>
      </c>
      <c r="L178" s="2">
        <v>99608826.356999993</v>
      </c>
      <c r="M178" s="2" t="s">
        <v>5471</v>
      </c>
      <c r="N178" s="2">
        <v>12.517611067200001</v>
      </c>
      <c r="O178" s="2">
        <v>3.7400000000000002E-6</v>
      </c>
      <c r="P178" s="2">
        <v>6493128</v>
      </c>
      <c r="Q178" s="2">
        <v>548</v>
      </c>
    </row>
    <row r="179" spans="1:17" x14ac:dyDescent="0.25">
      <c r="A179" s="1">
        <v>43431</v>
      </c>
      <c r="B179" s="2">
        <v>20753050.778200001</v>
      </c>
      <c r="C179" s="2">
        <v>11128450.529300001</v>
      </c>
      <c r="D179" s="2" t="s">
        <v>5472</v>
      </c>
      <c r="E179" s="2">
        <v>750921920.11199999</v>
      </c>
      <c r="F179" s="2">
        <v>88.68</v>
      </c>
      <c r="G179" s="2">
        <v>126986000</v>
      </c>
      <c r="H179" s="2">
        <v>2310010238.1900001</v>
      </c>
      <c r="I179" s="2">
        <v>1836.73341729</v>
      </c>
      <c r="J179" s="2">
        <v>3.4997756799999999</v>
      </c>
      <c r="K179" s="2">
        <v>45043</v>
      </c>
      <c r="L179" s="2">
        <v>97520335.486300007</v>
      </c>
      <c r="M179" s="2" t="s">
        <v>5473</v>
      </c>
      <c r="N179" s="2">
        <v>12.7002432372</v>
      </c>
      <c r="O179" s="2">
        <v>3.7400000000000002E-6</v>
      </c>
      <c r="P179" s="2">
        <v>7658766</v>
      </c>
      <c r="Q179" s="2">
        <v>549</v>
      </c>
    </row>
    <row r="180" spans="1:17" x14ac:dyDescent="0.25">
      <c r="A180" s="1">
        <v>43430</v>
      </c>
      <c r="B180" s="2">
        <v>10715714.5233</v>
      </c>
      <c r="C180" s="2">
        <v>7078357.3352600001</v>
      </c>
      <c r="D180" s="2" t="s">
        <v>5474</v>
      </c>
      <c r="E180" s="2">
        <v>771529473.68400002</v>
      </c>
      <c r="F180" s="2">
        <v>91.13</v>
      </c>
      <c r="G180" s="2">
        <v>102231000</v>
      </c>
      <c r="H180" s="2">
        <v>2313971413.6700001</v>
      </c>
      <c r="I180" s="2">
        <v>1833.3878190800001</v>
      </c>
      <c r="J180" s="2">
        <v>3.2018724500000002</v>
      </c>
      <c r="K180" s="2">
        <v>33667</v>
      </c>
      <c r="L180" s="2">
        <v>89925466.561299995</v>
      </c>
      <c r="M180" s="2" t="s">
        <v>5475</v>
      </c>
      <c r="N180" s="2">
        <v>12.758327582</v>
      </c>
      <c r="O180" s="2">
        <v>3.7400000000000002E-6</v>
      </c>
      <c r="P180" s="2">
        <v>5890522</v>
      </c>
      <c r="Q180" s="2">
        <v>548</v>
      </c>
    </row>
    <row r="181" spans="1:17" x14ac:dyDescent="0.25">
      <c r="A181" s="1">
        <v>43429</v>
      </c>
      <c r="B181" s="2">
        <v>12742616.8671</v>
      </c>
      <c r="C181" s="2">
        <v>9415720.0548299998</v>
      </c>
      <c r="D181" s="2" t="s">
        <v>5476</v>
      </c>
      <c r="E181" s="2">
        <v>787523275.08200002</v>
      </c>
      <c r="F181" s="2">
        <v>93.04</v>
      </c>
      <c r="G181" s="2">
        <v>215597000</v>
      </c>
      <c r="H181" s="2">
        <v>2316782231.3499999</v>
      </c>
      <c r="I181" s="2">
        <v>1860.15260476</v>
      </c>
      <c r="J181" s="2">
        <v>3.18301817</v>
      </c>
      <c r="K181" s="2">
        <v>35733</v>
      </c>
      <c r="L181" s="2">
        <v>95808850.295200005</v>
      </c>
      <c r="M181" s="2" t="s">
        <v>5477</v>
      </c>
      <c r="N181" s="2">
        <v>14.218838</v>
      </c>
      <c r="O181" s="2">
        <v>3.7400000000000002E-6</v>
      </c>
      <c r="P181" s="2">
        <v>6240123</v>
      </c>
      <c r="Q181" s="2">
        <v>556</v>
      </c>
    </row>
    <row r="182" spans="1:17" x14ac:dyDescent="0.25">
      <c r="A182" s="1">
        <v>43428</v>
      </c>
      <c r="B182" s="2">
        <v>12728793.2272</v>
      </c>
      <c r="C182" s="2">
        <v>8305040.08127</v>
      </c>
      <c r="D182" s="2" t="s">
        <v>5478</v>
      </c>
      <c r="E182" s="2">
        <v>841389088.76999998</v>
      </c>
      <c r="F182" s="2">
        <v>99.42</v>
      </c>
      <c r="G182" s="2">
        <v>135284000</v>
      </c>
      <c r="H182" s="2">
        <v>2321275746.54</v>
      </c>
      <c r="I182" s="2">
        <v>1826.69662266</v>
      </c>
      <c r="J182" s="2">
        <v>2.9307371</v>
      </c>
      <c r="K182" s="2">
        <v>54881</v>
      </c>
      <c r="L182" s="2">
        <v>98781617.874799997</v>
      </c>
      <c r="M182" s="2" t="s">
        <v>5479</v>
      </c>
      <c r="N182" s="2">
        <v>12.710046669</v>
      </c>
      <c r="O182" s="2">
        <v>3.7400000000000002E-6</v>
      </c>
      <c r="P182" s="2">
        <v>9061241</v>
      </c>
      <c r="Q182" s="2">
        <v>546</v>
      </c>
    </row>
    <row r="183" spans="1:17" x14ac:dyDescent="0.25">
      <c r="A183" s="1">
        <v>43427</v>
      </c>
      <c r="B183" s="2">
        <v>16567514.2137</v>
      </c>
      <c r="C183" s="2">
        <v>12079778.741800001</v>
      </c>
      <c r="D183" s="2" t="s">
        <v>5480</v>
      </c>
      <c r="E183" s="2">
        <v>864673042.171</v>
      </c>
      <c r="F183" s="2">
        <v>102.2</v>
      </c>
      <c r="G183" s="2">
        <v>216622000</v>
      </c>
      <c r="H183" s="2">
        <v>2324906627.3699999</v>
      </c>
      <c r="I183" s="2">
        <v>1840.0790155</v>
      </c>
      <c r="J183" s="2">
        <v>3.1196558099999998</v>
      </c>
      <c r="K183" s="2">
        <v>44189</v>
      </c>
      <c r="L183" s="2">
        <v>106212082.068</v>
      </c>
      <c r="M183" s="2" t="s">
        <v>5481</v>
      </c>
      <c r="N183" s="2">
        <v>13.843080958</v>
      </c>
      <c r="O183" s="2">
        <v>3.7400000000000002E-6</v>
      </c>
      <c r="P183" s="2">
        <v>7547366</v>
      </c>
      <c r="Q183" s="2">
        <v>550</v>
      </c>
    </row>
    <row r="184" spans="1:17" x14ac:dyDescent="0.25">
      <c r="A184" s="1">
        <v>43426</v>
      </c>
      <c r="B184" s="2">
        <v>13769730.4345</v>
      </c>
      <c r="C184" s="2">
        <v>10206213.068700001</v>
      </c>
      <c r="D184" s="2" t="s">
        <v>5482</v>
      </c>
      <c r="E184" s="2">
        <v>967791431.05200005</v>
      </c>
      <c r="F184" s="2">
        <v>114.41</v>
      </c>
      <c r="G184" s="2">
        <v>125393000</v>
      </c>
      <c r="H184" s="2">
        <v>2332452997.2600002</v>
      </c>
      <c r="I184" s="2">
        <v>1823.3510244500001</v>
      </c>
      <c r="J184" s="2">
        <v>3.9924060899999998</v>
      </c>
      <c r="K184" s="2">
        <v>45579</v>
      </c>
      <c r="L184" s="2">
        <v>103055128.91</v>
      </c>
      <c r="M184" s="2" t="s">
        <v>5483</v>
      </c>
      <c r="N184" s="2">
        <v>13.8783014002</v>
      </c>
      <c r="O184" s="2">
        <v>3.7400000000000002E-6</v>
      </c>
      <c r="P184" s="2">
        <v>7616016</v>
      </c>
      <c r="Q184" s="2">
        <v>545</v>
      </c>
    </row>
    <row r="185" spans="1:17" x14ac:dyDescent="0.25">
      <c r="A185" s="1">
        <v>43425</v>
      </c>
      <c r="B185" s="2">
        <v>18896963.5145</v>
      </c>
      <c r="C185" s="2">
        <v>12270561.558900001</v>
      </c>
      <c r="D185" s="2" t="s">
        <v>5484</v>
      </c>
      <c r="E185" s="2">
        <v>888110775.70000005</v>
      </c>
      <c r="F185" s="2">
        <v>105.01</v>
      </c>
      <c r="G185" s="2">
        <v>168913000</v>
      </c>
      <c r="H185" s="2">
        <v>2334724092.9499998</v>
      </c>
      <c r="I185" s="2">
        <v>1830.0422208699999</v>
      </c>
      <c r="J185" s="2">
        <v>3.2079023000000002</v>
      </c>
      <c r="K185" s="2">
        <v>52712</v>
      </c>
      <c r="L185" s="2">
        <v>98721763.592299998</v>
      </c>
      <c r="M185" s="2" t="s">
        <v>5485</v>
      </c>
      <c r="N185" s="2">
        <v>13.2449627549</v>
      </c>
      <c r="O185" s="2">
        <v>3.7400000000000002E-6</v>
      </c>
      <c r="P185" s="2">
        <v>8768519</v>
      </c>
      <c r="Q185" s="2">
        <v>547</v>
      </c>
    </row>
    <row r="186" spans="1:17" x14ac:dyDescent="0.25">
      <c r="A186" s="1">
        <v>43424</v>
      </c>
      <c r="B186" s="2">
        <v>27102064.286800001</v>
      </c>
      <c r="C186" s="2">
        <v>17313617.739500001</v>
      </c>
      <c r="D186" s="2" t="s">
        <v>5486</v>
      </c>
      <c r="E186" s="2">
        <v>924919359.22899997</v>
      </c>
      <c r="F186" s="2">
        <v>109.39</v>
      </c>
      <c r="G186" s="2">
        <v>127655000</v>
      </c>
      <c r="H186" s="2">
        <v>2336617016.3800001</v>
      </c>
      <c r="I186" s="2">
        <v>1830.0422208699999</v>
      </c>
      <c r="J186" s="2">
        <v>3.5702086999999998</v>
      </c>
      <c r="K186" s="2">
        <v>42298</v>
      </c>
      <c r="L186" s="2">
        <v>111572744.87100001</v>
      </c>
      <c r="M186" s="2" t="s">
        <v>5487</v>
      </c>
      <c r="N186" s="2">
        <v>15.609953000000001</v>
      </c>
      <c r="O186" s="2">
        <v>3.7400000000000002E-6</v>
      </c>
      <c r="P186" s="2">
        <v>7378981</v>
      </c>
      <c r="Q186" s="2">
        <v>547</v>
      </c>
    </row>
    <row r="187" spans="1:17" x14ac:dyDescent="0.25">
      <c r="A187" s="1">
        <v>43423</v>
      </c>
      <c r="B187" s="2">
        <v>54467955.690499999</v>
      </c>
      <c r="C187" s="2">
        <v>45026813.338600002</v>
      </c>
      <c r="D187" s="2" t="s">
        <v>5488</v>
      </c>
      <c r="E187" s="2">
        <v>1121674540.3299999</v>
      </c>
      <c r="F187" s="2">
        <v>132.69</v>
      </c>
      <c r="G187" s="2">
        <v>179060000</v>
      </c>
      <c r="H187" s="2">
        <v>2343927906.5599999</v>
      </c>
      <c r="I187" s="2">
        <v>1840.0790155</v>
      </c>
      <c r="J187" s="2">
        <v>3.5343762399999998</v>
      </c>
      <c r="K187" s="2">
        <v>51865</v>
      </c>
      <c r="L187" s="2">
        <v>101639537.484</v>
      </c>
      <c r="M187" s="2" t="s">
        <v>5489</v>
      </c>
      <c r="N187" s="2">
        <v>20.2967440647</v>
      </c>
      <c r="O187" s="2">
        <v>3.6200000000000001E-6</v>
      </c>
      <c r="P187" s="2">
        <v>8701908</v>
      </c>
      <c r="Q187" s="2">
        <v>550</v>
      </c>
    </row>
    <row r="188" spans="1:17" x14ac:dyDescent="0.25">
      <c r="A188" s="1">
        <v>43422</v>
      </c>
      <c r="B188" s="2">
        <v>11782812.3148</v>
      </c>
      <c r="C188" s="2">
        <v>8403501.2562499996</v>
      </c>
      <c r="D188" s="2" t="s">
        <v>5490</v>
      </c>
      <c r="E188" s="2">
        <v>1123379576.53</v>
      </c>
      <c r="F188" s="2">
        <v>132.91999999999999</v>
      </c>
      <c r="G188" s="2">
        <v>140238000</v>
      </c>
      <c r="H188" s="2">
        <v>2352610974.6599998</v>
      </c>
      <c r="I188" s="2">
        <v>1816.65982803</v>
      </c>
      <c r="J188" s="2">
        <v>2.2810613100000001</v>
      </c>
      <c r="K188" s="2">
        <v>42986</v>
      </c>
      <c r="L188" s="2">
        <v>106546545.098</v>
      </c>
      <c r="M188" s="2" t="s">
        <v>5491</v>
      </c>
      <c r="N188" s="2">
        <v>14.213684559600001</v>
      </c>
      <c r="O188" s="2">
        <v>3.72E-6</v>
      </c>
      <c r="P188" s="2">
        <v>7057232</v>
      </c>
      <c r="Q188" s="2">
        <v>543</v>
      </c>
    </row>
    <row r="189" spans="1:17" x14ac:dyDescent="0.25">
      <c r="A189" s="1">
        <v>43421</v>
      </c>
      <c r="B189" s="2">
        <v>14092200.835899999</v>
      </c>
      <c r="C189" s="2">
        <v>9405694.5468899999</v>
      </c>
      <c r="D189" s="2" t="s">
        <v>5492</v>
      </c>
      <c r="E189" s="2">
        <v>1160907455.9300001</v>
      </c>
      <c r="F189" s="2">
        <v>137.38999999999999</v>
      </c>
      <c r="G189" s="2">
        <v>209353000</v>
      </c>
      <c r="H189" s="2">
        <v>2353630675.1599998</v>
      </c>
      <c r="I189" s="2">
        <v>1853.4614083399999</v>
      </c>
      <c r="J189" s="2">
        <v>2.4141149500000001</v>
      </c>
      <c r="K189" s="2">
        <v>40025</v>
      </c>
      <c r="L189" s="2">
        <v>100724655.854</v>
      </c>
      <c r="M189" s="2" t="s">
        <v>5493</v>
      </c>
      <c r="N189" s="2">
        <v>13.73913739</v>
      </c>
      <c r="O189" s="2">
        <v>4.3000000000000003E-6</v>
      </c>
      <c r="P189" s="2">
        <v>6486800</v>
      </c>
      <c r="Q189" s="2">
        <v>554</v>
      </c>
    </row>
    <row r="190" spans="1:17" x14ac:dyDescent="0.25">
      <c r="A190" s="1">
        <v>43420</v>
      </c>
      <c r="B190" s="2">
        <v>27378252.607999999</v>
      </c>
      <c r="C190" s="2">
        <v>24756175.066300001</v>
      </c>
      <c r="D190" s="2" t="s">
        <v>5494</v>
      </c>
      <c r="E190" s="2">
        <v>1170361107.9400001</v>
      </c>
      <c r="F190" s="2">
        <v>138.54</v>
      </c>
      <c r="G190" s="2">
        <v>173701000</v>
      </c>
      <c r="H190" s="2">
        <v>2355249543.0100002</v>
      </c>
      <c r="I190" s="2">
        <v>1846.7702119200001</v>
      </c>
      <c r="J190" s="2">
        <v>2.48808995</v>
      </c>
      <c r="K190" s="2">
        <v>37316</v>
      </c>
      <c r="L190" s="2">
        <v>104768121.69400001</v>
      </c>
      <c r="M190" s="2" t="s">
        <v>5495</v>
      </c>
      <c r="N190" s="2">
        <v>13.2716623494</v>
      </c>
      <c r="O190" s="2">
        <v>3.2799999999999999E-6</v>
      </c>
      <c r="P190" s="2">
        <v>6736717</v>
      </c>
      <c r="Q190" s="2">
        <v>552</v>
      </c>
    </row>
    <row r="191" spans="1:17" x14ac:dyDescent="0.25">
      <c r="A191" s="1">
        <v>43419</v>
      </c>
      <c r="B191" s="2">
        <v>18275715.497099999</v>
      </c>
      <c r="C191" s="2">
        <v>13275173.717900001</v>
      </c>
      <c r="D191" s="2" t="s">
        <v>5496</v>
      </c>
      <c r="E191" s="2">
        <v>1216619509.0599999</v>
      </c>
      <c r="F191" s="2">
        <v>144.04</v>
      </c>
      <c r="G191" s="2">
        <v>208017000</v>
      </c>
      <c r="H191" s="2">
        <v>2358804860.25</v>
      </c>
      <c r="I191" s="2">
        <v>1836.73341729</v>
      </c>
      <c r="J191" s="2">
        <v>3.0798681499999998</v>
      </c>
      <c r="K191" s="2">
        <v>36134</v>
      </c>
      <c r="L191" s="2">
        <v>102873337.956</v>
      </c>
      <c r="M191" s="2" t="s">
        <v>5497</v>
      </c>
      <c r="N191" s="2">
        <v>16.4227825372</v>
      </c>
      <c r="O191" s="2">
        <v>3.7400000000000002E-6</v>
      </c>
      <c r="P191" s="2">
        <v>6166378</v>
      </c>
      <c r="Q191" s="2">
        <v>549</v>
      </c>
    </row>
    <row r="192" spans="1:17" x14ac:dyDescent="0.25">
      <c r="A192" s="1">
        <v>43418</v>
      </c>
      <c r="B192" s="2">
        <v>17961864.332899999</v>
      </c>
      <c r="C192" s="2">
        <v>13824716.983100001</v>
      </c>
      <c r="D192" s="2" t="s">
        <v>5498</v>
      </c>
      <c r="E192" s="2">
        <v>1357388610.4400001</v>
      </c>
      <c r="F192" s="2">
        <v>160.74</v>
      </c>
      <c r="G192" s="2">
        <v>153849000</v>
      </c>
      <c r="H192" s="2">
        <v>2362024658.1900001</v>
      </c>
      <c r="I192" s="2">
        <v>1813.31422982</v>
      </c>
      <c r="J192" s="2">
        <v>3.4612892300000002</v>
      </c>
      <c r="K192" s="2">
        <v>39764</v>
      </c>
      <c r="L192" s="2">
        <v>101160446.48800001</v>
      </c>
      <c r="M192" s="2" t="s">
        <v>5499</v>
      </c>
      <c r="N192" s="2">
        <v>14.6617576488</v>
      </c>
      <c r="O192" s="2">
        <v>3.7400000000000002E-6</v>
      </c>
      <c r="P192" s="2">
        <v>6797601</v>
      </c>
      <c r="Q192" s="2">
        <v>542</v>
      </c>
    </row>
    <row r="193" spans="1:17" x14ac:dyDescent="0.25">
      <c r="A193" s="1">
        <v>43417</v>
      </c>
      <c r="B193" s="2">
        <v>13920532.9285</v>
      </c>
      <c r="C193" s="2">
        <v>9476882.2513299994</v>
      </c>
      <c r="D193" s="2" t="s">
        <v>5500</v>
      </c>
      <c r="E193" s="2">
        <v>1376249326.1700001</v>
      </c>
      <c r="F193" s="2">
        <v>163.01</v>
      </c>
      <c r="G193" s="2">
        <v>155883000</v>
      </c>
      <c r="H193" s="2">
        <v>2364440442.73</v>
      </c>
      <c r="I193" s="2">
        <v>1836.73341729</v>
      </c>
      <c r="J193" s="2">
        <v>2.51831133</v>
      </c>
      <c r="K193" s="2">
        <v>45100</v>
      </c>
      <c r="L193" s="2">
        <v>99629704.689700007</v>
      </c>
      <c r="M193" s="2" t="s">
        <v>5501</v>
      </c>
      <c r="N193" s="2">
        <v>13.367087336399999</v>
      </c>
      <c r="O193" s="2">
        <v>3.7299999999999999E-6</v>
      </c>
      <c r="P193" s="2">
        <v>7693980</v>
      </c>
      <c r="Q193" s="2">
        <v>549</v>
      </c>
    </row>
    <row r="194" spans="1:17" x14ac:dyDescent="0.25">
      <c r="A194" s="1">
        <v>43416</v>
      </c>
      <c r="B194" s="2">
        <v>18069826.785100002</v>
      </c>
      <c r="C194" s="2">
        <v>13215549.1072</v>
      </c>
      <c r="D194" s="2" t="s">
        <v>5502</v>
      </c>
      <c r="E194" s="2">
        <v>1352512158.0999999</v>
      </c>
      <c r="F194" s="2">
        <v>160.24</v>
      </c>
      <c r="G194" s="2">
        <v>198078000</v>
      </c>
      <c r="H194" s="2">
        <v>2366383923.0599999</v>
      </c>
      <c r="I194" s="2">
        <v>1823.3510244500001</v>
      </c>
      <c r="J194" s="2">
        <v>2.8812616800000002</v>
      </c>
      <c r="K194" s="2">
        <v>51156</v>
      </c>
      <c r="L194" s="2">
        <v>93983849.791800007</v>
      </c>
      <c r="M194" s="2" t="s">
        <v>5503</v>
      </c>
      <c r="N194" s="2">
        <v>14.19181584</v>
      </c>
      <c r="O194" s="2">
        <v>1.9199999999999998E-6</v>
      </c>
      <c r="P194" s="2">
        <v>17095845</v>
      </c>
      <c r="Q194" s="2">
        <v>545</v>
      </c>
    </row>
    <row r="195" spans="1:17" x14ac:dyDescent="0.25">
      <c r="A195" s="1">
        <v>43415</v>
      </c>
      <c r="B195" s="2">
        <v>12301508.0288</v>
      </c>
      <c r="C195" s="2">
        <v>9358163.6579999998</v>
      </c>
      <c r="D195" s="2" t="s">
        <v>5504</v>
      </c>
      <c r="E195" s="2">
        <v>1364971374.96</v>
      </c>
      <c r="F195" s="2">
        <v>161.77000000000001</v>
      </c>
      <c r="G195" s="2">
        <v>317344000</v>
      </c>
      <c r="H195" s="2">
        <v>2367424667.8600001</v>
      </c>
      <c r="I195" s="2">
        <v>1846.7702119200001</v>
      </c>
      <c r="J195" s="2">
        <v>7.7615368599999996</v>
      </c>
      <c r="K195" s="2">
        <v>55215</v>
      </c>
      <c r="L195" s="2">
        <v>89951128.816100001</v>
      </c>
      <c r="M195" s="2" t="s">
        <v>5505</v>
      </c>
      <c r="N195" s="2">
        <v>13.427592669399999</v>
      </c>
      <c r="O195" s="2">
        <v>1.9199999999999998E-6</v>
      </c>
      <c r="P195" s="2">
        <v>584741821</v>
      </c>
      <c r="Q195" s="2">
        <v>552</v>
      </c>
    </row>
    <row r="196" spans="1:17" x14ac:dyDescent="0.25">
      <c r="A196" s="1">
        <v>43414</v>
      </c>
      <c r="B196" s="2">
        <v>12319507.702</v>
      </c>
      <c r="C196" s="2">
        <v>8491191.5394299999</v>
      </c>
      <c r="D196" s="2" t="s">
        <v>5506</v>
      </c>
      <c r="E196" s="2">
        <v>1349594322.1400001</v>
      </c>
      <c r="F196" s="2">
        <v>159.96</v>
      </c>
      <c r="G196" s="2">
        <v>320383000</v>
      </c>
      <c r="H196" s="2">
        <v>2367619550.0500002</v>
      </c>
      <c r="I196" s="2">
        <v>1843.4246137099999</v>
      </c>
      <c r="J196" s="2">
        <v>2.7922833800000002</v>
      </c>
      <c r="K196" s="2">
        <v>48475</v>
      </c>
      <c r="L196" s="2">
        <v>96478970.035400003</v>
      </c>
      <c r="M196" s="2" t="s">
        <v>5507</v>
      </c>
      <c r="N196" s="2">
        <v>13.1648647608</v>
      </c>
      <c r="O196" s="2">
        <v>1.9199999999999998E-6</v>
      </c>
      <c r="P196" s="2">
        <v>49812835</v>
      </c>
      <c r="Q196" s="2">
        <v>551</v>
      </c>
    </row>
    <row r="197" spans="1:17" x14ac:dyDescent="0.25">
      <c r="A197" s="1">
        <v>43413</v>
      </c>
      <c r="B197" s="2">
        <v>14291398.7928</v>
      </c>
      <c r="C197" s="2">
        <v>10037654.543</v>
      </c>
      <c r="D197" s="2" t="s">
        <v>5508</v>
      </c>
      <c r="E197" s="2">
        <v>1384736619.3900001</v>
      </c>
      <c r="F197" s="2">
        <v>164.16</v>
      </c>
      <c r="G197" s="2">
        <v>210843000</v>
      </c>
      <c r="H197" s="2">
        <v>2367972859.0599999</v>
      </c>
      <c r="I197" s="2">
        <v>1806.6230333999999</v>
      </c>
      <c r="J197" s="2">
        <v>2.5906498</v>
      </c>
      <c r="K197" s="2">
        <v>54545</v>
      </c>
      <c r="L197" s="2">
        <v>101826906.84900001</v>
      </c>
      <c r="M197" s="2" t="s">
        <v>5509</v>
      </c>
      <c r="N197" s="2">
        <v>13.567712371200001</v>
      </c>
      <c r="O197" s="2">
        <v>3.7299999999999999E-6</v>
      </c>
      <c r="P197" s="2">
        <v>9564240</v>
      </c>
      <c r="Q197" s="2">
        <v>540</v>
      </c>
    </row>
    <row r="198" spans="1:17" x14ac:dyDescent="0.25">
      <c r="A198" s="1">
        <v>43412</v>
      </c>
      <c r="B198" s="2">
        <v>29901268.220699999</v>
      </c>
      <c r="C198" s="2">
        <v>19725421.011599999</v>
      </c>
      <c r="D198" s="2" t="s">
        <v>5510</v>
      </c>
      <c r="E198" s="2">
        <v>1402040740.4100001</v>
      </c>
      <c r="F198" s="2">
        <v>166.25</v>
      </c>
      <c r="G198" s="2">
        <v>139714000</v>
      </c>
      <c r="H198" s="2">
        <v>2368659622.29</v>
      </c>
      <c r="I198" s="2">
        <v>1833.3878190800001</v>
      </c>
      <c r="J198" s="2">
        <v>2.63094976</v>
      </c>
      <c r="K198" s="2">
        <v>63639</v>
      </c>
      <c r="L198" s="2">
        <v>97967212.483999997</v>
      </c>
      <c r="M198" s="2" t="s">
        <v>5511</v>
      </c>
      <c r="N198" s="2">
        <v>18.287682875000002</v>
      </c>
      <c r="O198" s="2">
        <v>2.26E-6</v>
      </c>
      <c r="P198" s="2">
        <v>9918175</v>
      </c>
      <c r="Q198" s="2">
        <v>548</v>
      </c>
    </row>
    <row r="199" spans="1:17" x14ac:dyDescent="0.25">
      <c r="A199" s="1">
        <v>43411</v>
      </c>
      <c r="B199" s="2">
        <v>33169367.4734</v>
      </c>
      <c r="C199" s="2">
        <v>20755487.9322</v>
      </c>
      <c r="D199" s="2" t="s">
        <v>5512</v>
      </c>
      <c r="E199" s="2">
        <v>1434365484.04</v>
      </c>
      <c r="F199" s="2">
        <v>170.12</v>
      </c>
      <c r="G199" s="2">
        <v>190695000</v>
      </c>
      <c r="H199" s="2">
        <v>2369672476.8499999</v>
      </c>
      <c r="I199" s="2">
        <v>1833.3878190800001</v>
      </c>
      <c r="J199" s="2">
        <v>2.7367334200000002</v>
      </c>
      <c r="K199" s="2">
        <v>56033</v>
      </c>
      <c r="L199" s="2">
        <v>107699825.48</v>
      </c>
      <c r="M199" s="2" t="s">
        <v>5513</v>
      </c>
      <c r="N199" s="2">
        <v>18.713387132000001</v>
      </c>
      <c r="O199" s="2">
        <v>3.72E-6</v>
      </c>
      <c r="P199" s="2">
        <v>9678224</v>
      </c>
      <c r="Q199" s="2">
        <v>548</v>
      </c>
    </row>
    <row r="200" spans="1:17" x14ac:dyDescent="0.25">
      <c r="A200" s="1">
        <v>43410</v>
      </c>
      <c r="B200" s="2">
        <v>18207937.681200001</v>
      </c>
      <c r="C200" s="2">
        <v>11602321.589299999</v>
      </c>
      <c r="D200" s="2" t="s">
        <v>5514</v>
      </c>
      <c r="E200" s="2">
        <v>1381097081.8299999</v>
      </c>
      <c r="F200" s="2">
        <v>164.86</v>
      </c>
      <c r="G200" s="2">
        <v>167367000</v>
      </c>
      <c r="H200" s="2">
        <v>2370276639.8400002</v>
      </c>
      <c r="I200" s="2">
        <v>1840.0790155</v>
      </c>
      <c r="J200" s="2">
        <v>2.6870040300000002</v>
      </c>
      <c r="K200" s="2">
        <v>54263</v>
      </c>
      <c r="L200" s="2">
        <v>95922235.017399997</v>
      </c>
      <c r="M200" s="2" t="s">
        <v>5515</v>
      </c>
      <c r="N200" s="2">
        <v>23.080630803999998</v>
      </c>
      <c r="O200" s="2">
        <v>3.7299999999999999E-6</v>
      </c>
      <c r="P200" s="2">
        <v>9434789</v>
      </c>
      <c r="Q200" s="2">
        <v>550</v>
      </c>
    </row>
    <row r="201" spans="1:17" x14ac:dyDescent="0.25">
      <c r="A201" s="1">
        <v>43409</v>
      </c>
      <c r="B201" s="2">
        <v>18850885.825100001</v>
      </c>
      <c r="C201" s="2">
        <v>13112921.578299999</v>
      </c>
      <c r="D201" s="2" t="s">
        <v>5516</v>
      </c>
      <c r="E201" s="2">
        <v>1361758741</v>
      </c>
      <c r="F201" s="2">
        <v>161.58000000000001</v>
      </c>
      <c r="G201" s="2">
        <v>153372000</v>
      </c>
      <c r="H201" s="2">
        <v>2371017233.6500001</v>
      </c>
      <c r="I201" s="2">
        <v>1823.3510244500001</v>
      </c>
      <c r="J201" s="2">
        <v>2.4909017800000002</v>
      </c>
      <c r="K201" s="2">
        <v>52219</v>
      </c>
      <c r="L201" s="2">
        <v>105379036.656</v>
      </c>
      <c r="M201" s="2" t="s">
        <v>5517</v>
      </c>
      <c r="N201" s="2">
        <v>20.6637568638</v>
      </c>
      <c r="O201" s="2">
        <v>3.7299999999999999E-6</v>
      </c>
      <c r="P201" s="2">
        <v>8922287</v>
      </c>
      <c r="Q201" s="2">
        <v>545</v>
      </c>
    </row>
    <row r="202" spans="1:17" x14ac:dyDescent="0.25">
      <c r="A202" s="1">
        <v>43408</v>
      </c>
      <c r="B202" s="2">
        <v>13360090.0777</v>
      </c>
      <c r="C202" s="2">
        <v>8697790.5943100005</v>
      </c>
      <c r="D202" s="2" t="s">
        <v>5518</v>
      </c>
      <c r="E202" s="2">
        <v>1304934893.7</v>
      </c>
      <c r="F202" s="2">
        <v>154.87</v>
      </c>
      <c r="G202" s="2">
        <v>191731000</v>
      </c>
      <c r="H202" s="2">
        <v>2376386182.8499999</v>
      </c>
      <c r="I202" s="2">
        <v>1826.69662266</v>
      </c>
      <c r="J202" s="2">
        <v>2.3065146200000002</v>
      </c>
      <c r="K202" s="2">
        <v>41108</v>
      </c>
      <c r="L202" s="2">
        <v>92224397.2007</v>
      </c>
      <c r="M202" s="2" t="s">
        <v>5519</v>
      </c>
      <c r="N202" s="2">
        <v>13.938439383</v>
      </c>
      <c r="O202" s="2">
        <v>3.7400000000000002E-6</v>
      </c>
      <c r="P202" s="2">
        <v>6880650</v>
      </c>
      <c r="Q202" s="2">
        <v>546</v>
      </c>
    </row>
    <row r="203" spans="1:17" x14ac:dyDescent="0.25">
      <c r="A203" s="1">
        <v>43407</v>
      </c>
      <c r="B203" s="2">
        <v>12342772.607000001</v>
      </c>
      <c r="C203" s="2">
        <v>7808884.4794699997</v>
      </c>
      <c r="D203" s="2" t="s">
        <v>5520</v>
      </c>
      <c r="E203" s="2">
        <v>1300212578.73</v>
      </c>
      <c r="F203" s="2">
        <v>154.34</v>
      </c>
      <c r="G203" s="2">
        <v>122982000</v>
      </c>
      <c r="H203" s="2">
        <v>2377269424.7800002</v>
      </c>
      <c r="I203" s="2">
        <v>1843.4246137099999</v>
      </c>
      <c r="J203" s="2">
        <v>1.8095834900000001</v>
      </c>
      <c r="K203" s="2">
        <v>42721</v>
      </c>
      <c r="L203" s="2">
        <v>118085047.40899999</v>
      </c>
      <c r="M203" s="2" t="s">
        <v>5521</v>
      </c>
      <c r="N203" s="2">
        <v>13.890738905999999</v>
      </c>
      <c r="O203" s="2">
        <v>3.7400000000000002E-6</v>
      </c>
      <c r="P203" s="2">
        <v>7514802</v>
      </c>
      <c r="Q203" s="2">
        <v>551</v>
      </c>
    </row>
    <row r="204" spans="1:17" x14ac:dyDescent="0.25">
      <c r="A204" s="1">
        <v>43406</v>
      </c>
      <c r="B204" s="2">
        <v>15196039.0329</v>
      </c>
      <c r="C204" s="2">
        <v>8787808.8901199996</v>
      </c>
      <c r="D204" s="2" t="s">
        <v>5522</v>
      </c>
      <c r="E204" s="2">
        <v>1293907209.24</v>
      </c>
      <c r="F204" s="2">
        <v>153.63</v>
      </c>
      <c r="G204" s="2">
        <v>198045000</v>
      </c>
      <c r="H204" s="2">
        <v>2378340923.6399999</v>
      </c>
      <c r="I204" s="2">
        <v>1846.7702119200001</v>
      </c>
      <c r="J204" s="2">
        <v>2.3329557900000002</v>
      </c>
      <c r="K204" s="2">
        <v>60207</v>
      </c>
      <c r="L204" s="2">
        <v>105875035.20999999</v>
      </c>
      <c r="M204" s="2" t="s">
        <v>5523</v>
      </c>
      <c r="N204" s="2">
        <v>14.694881565599999</v>
      </c>
      <c r="O204" s="2">
        <v>3.7400000000000002E-6</v>
      </c>
      <c r="P204" s="2">
        <v>8815661</v>
      </c>
      <c r="Q204" s="2">
        <v>552</v>
      </c>
    </row>
    <row r="205" spans="1:17" x14ac:dyDescent="0.25">
      <c r="A205" s="1">
        <v>43405</v>
      </c>
      <c r="B205" s="2">
        <v>9313739.7028800007</v>
      </c>
      <c r="C205" s="2">
        <v>5977788.6917300001</v>
      </c>
      <c r="D205" s="2" t="s">
        <v>5524</v>
      </c>
      <c r="E205" s="2">
        <v>1279183194.6199999</v>
      </c>
      <c r="F205" s="2">
        <v>151.91</v>
      </c>
      <c r="G205" s="2">
        <v>179048000</v>
      </c>
      <c r="H205" s="2">
        <v>2379972121.8299999</v>
      </c>
      <c r="I205" s="2">
        <v>7830.9686316099996</v>
      </c>
      <c r="J205" s="2">
        <v>2.3131408599999999</v>
      </c>
      <c r="K205" s="2">
        <v>42177</v>
      </c>
      <c r="L205" s="2">
        <v>106685634.92900001</v>
      </c>
      <c r="M205" s="2" t="s">
        <v>5525</v>
      </c>
      <c r="N205" s="2">
        <v>13.021968255999999</v>
      </c>
      <c r="O205" s="2">
        <v>3.7400000000000002E-6</v>
      </c>
      <c r="P205" s="2">
        <v>7105422</v>
      </c>
      <c r="Q205" s="2">
        <v>541</v>
      </c>
    </row>
    <row r="206" spans="1:17" x14ac:dyDescent="0.25">
      <c r="A206" s="1">
        <v>43404</v>
      </c>
      <c r="B206" s="2">
        <v>16030593.3752</v>
      </c>
      <c r="C206" s="2">
        <v>9995725.5147900004</v>
      </c>
      <c r="D206" s="2" t="s">
        <v>5526</v>
      </c>
      <c r="E206" s="2">
        <v>1290209036.26</v>
      </c>
      <c r="F206" s="2">
        <v>153.36000000000001</v>
      </c>
      <c r="G206" s="2">
        <v>156270000</v>
      </c>
      <c r="H206" s="2">
        <v>2379621731.2600002</v>
      </c>
      <c r="I206" s="2">
        <v>1853.4614083399999</v>
      </c>
      <c r="J206" s="2">
        <v>2.2111452699999998</v>
      </c>
      <c r="K206" s="2">
        <v>45752</v>
      </c>
      <c r="L206" s="2">
        <v>108296370.787</v>
      </c>
      <c r="M206" s="2" t="s">
        <v>5527</v>
      </c>
      <c r="N206" s="2">
        <v>4.8899648808</v>
      </c>
      <c r="O206" s="2">
        <v>2.26E-6</v>
      </c>
      <c r="P206" s="2">
        <v>8228139</v>
      </c>
      <c r="Q206" s="2">
        <v>554</v>
      </c>
    </row>
    <row r="207" spans="1:17" x14ac:dyDescent="0.25">
      <c r="A207" s="1">
        <v>43403</v>
      </c>
      <c r="B207" s="2">
        <v>15029591.523600001</v>
      </c>
      <c r="C207" s="2">
        <v>8341871.7999900002</v>
      </c>
      <c r="D207" s="2" t="s">
        <v>5528</v>
      </c>
      <c r="E207" s="2">
        <v>1263750066.26</v>
      </c>
      <c r="F207" s="2">
        <v>150.25</v>
      </c>
      <c r="G207" s="2">
        <v>154155000</v>
      </c>
      <c r="H207" s="2">
        <v>2381742851.73</v>
      </c>
      <c r="I207" s="2">
        <v>1840.0790155</v>
      </c>
      <c r="J207" s="2">
        <v>2.9283104099999999</v>
      </c>
      <c r="K207" s="2">
        <v>45560</v>
      </c>
      <c r="L207" s="2">
        <v>96443776.960700005</v>
      </c>
      <c r="M207" s="2" t="s">
        <v>5529</v>
      </c>
      <c r="N207" s="2">
        <v>13.8141998575</v>
      </c>
      <c r="O207" s="2">
        <v>4.9100000000000004E-6</v>
      </c>
      <c r="P207" s="2">
        <v>8694661</v>
      </c>
      <c r="Q207" s="2">
        <v>550</v>
      </c>
    </row>
    <row r="208" spans="1:17" x14ac:dyDescent="0.25">
      <c r="A208" s="1">
        <v>43402</v>
      </c>
      <c r="B208" s="2">
        <v>12171891.123400001</v>
      </c>
      <c r="C208" s="2">
        <v>7280463.6063099997</v>
      </c>
      <c r="D208" s="2" t="s">
        <v>5530</v>
      </c>
      <c r="E208" s="2">
        <v>1312432988.1300001</v>
      </c>
      <c r="F208" s="2">
        <v>156.07</v>
      </c>
      <c r="G208" s="2">
        <v>151064000</v>
      </c>
      <c r="H208" s="2">
        <v>2384112066.4200001</v>
      </c>
      <c r="I208" s="2">
        <v>1833.3878190800001</v>
      </c>
      <c r="J208" s="2">
        <v>2.1600309900000001</v>
      </c>
      <c r="K208" s="2">
        <v>45378</v>
      </c>
      <c r="L208" s="2">
        <v>85184178.059699997</v>
      </c>
      <c r="M208" s="2" t="s">
        <v>5531</v>
      </c>
      <c r="N208" s="2">
        <v>15.60715607</v>
      </c>
      <c r="O208" s="2">
        <v>2.26E-6</v>
      </c>
      <c r="P208" s="2">
        <v>7854565</v>
      </c>
      <c r="Q208" s="2">
        <v>548</v>
      </c>
    </row>
    <row r="209" spans="1:17" x14ac:dyDescent="0.25">
      <c r="A209" s="1">
        <v>43401</v>
      </c>
      <c r="B209" s="2">
        <v>11768731.2543</v>
      </c>
      <c r="C209" s="2">
        <v>6310651.20603</v>
      </c>
      <c r="D209" s="2" t="s">
        <v>5532</v>
      </c>
      <c r="E209" s="2">
        <v>1291657951.0699999</v>
      </c>
      <c r="F209" s="2">
        <v>153.63999999999999</v>
      </c>
      <c r="G209" s="2">
        <v>99202700</v>
      </c>
      <c r="H209" s="2">
        <v>2385537905.2800002</v>
      </c>
      <c r="I209" s="2">
        <v>1833.3878190800001</v>
      </c>
      <c r="J209" s="2">
        <v>1.7851815</v>
      </c>
      <c r="K209" s="2">
        <v>42914</v>
      </c>
      <c r="L209" s="2">
        <v>90297312.219400004</v>
      </c>
      <c r="M209" s="2" t="s">
        <v>5533</v>
      </c>
      <c r="N209" s="2">
        <v>11.812397840399999</v>
      </c>
      <c r="O209" s="2">
        <v>3.7500000000000001E-6</v>
      </c>
      <c r="P209" s="2">
        <v>6807904</v>
      </c>
      <c r="Q209" s="2">
        <v>548</v>
      </c>
    </row>
    <row r="210" spans="1:17" x14ac:dyDescent="0.25">
      <c r="A210" s="1">
        <v>43400</v>
      </c>
      <c r="B210" s="2">
        <v>12806826.765900001</v>
      </c>
      <c r="C210" s="2">
        <v>6803308.2044500001</v>
      </c>
      <c r="D210" s="2" t="s">
        <v>5534</v>
      </c>
      <c r="E210" s="2">
        <v>1306001125.0799999</v>
      </c>
      <c r="F210" s="2">
        <v>155.38</v>
      </c>
      <c r="G210" s="2">
        <v>188644000</v>
      </c>
      <c r="H210" s="2">
        <v>2385600517.46</v>
      </c>
      <c r="I210" s="2">
        <v>1826.69662266</v>
      </c>
      <c r="J210" s="2">
        <v>1.9115500000000001</v>
      </c>
      <c r="K210" s="2">
        <v>34422</v>
      </c>
      <c r="L210" s="2">
        <v>89003006.283099994</v>
      </c>
      <c r="M210" s="2" t="s">
        <v>5535</v>
      </c>
      <c r="N210" s="2">
        <v>12.90399824</v>
      </c>
      <c r="O210" s="2">
        <v>4.9799999999999998E-6</v>
      </c>
      <c r="P210" s="2">
        <v>5799494</v>
      </c>
      <c r="Q210" s="2">
        <v>546</v>
      </c>
    </row>
    <row r="211" spans="1:17" x14ac:dyDescent="0.25">
      <c r="A211" s="1">
        <v>43399</v>
      </c>
      <c r="B211" s="2">
        <v>11900161.568700001</v>
      </c>
      <c r="C211" s="2">
        <v>7482422.8462899998</v>
      </c>
      <c r="D211" s="2" t="s">
        <v>5536</v>
      </c>
      <c r="E211" s="2">
        <v>1300658229.1600001</v>
      </c>
      <c r="F211" s="2">
        <v>154.77000000000001</v>
      </c>
      <c r="G211" s="2">
        <v>174752000</v>
      </c>
      <c r="H211" s="2">
        <v>2385734101.8099999</v>
      </c>
      <c r="I211" s="2">
        <v>1856.8070065500001</v>
      </c>
      <c r="J211" s="2">
        <v>1.6277612699999999</v>
      </c>
      <c r="K211" s="2">
        <v>35337</v>
      </c>
      <c r="L211" s="2">
        <v>90516751.266399994</v>
      </c>
      <c r="M211" s="2" t="s">
        <v>5537</v>
      </c>
      <c r="N211" s="2">
        <v>12.381723815999999</v>
      </c>
      <c r="O211" s="2">
        <v>3.7400000000000002E-6</v>
      </c>
      <c r="P211" s="2">
        <v>5966840</v>
      </c>
      <c r="Q211" s="2">
        <v>555</v>
      </c>
    </row>
    <row r="212" spans="1:17" x14ac:dyDescent="0.25">
      <c r="A212" s="1">
        <v>43398</v>
      </c>
      <c r="B212" s="2">
        <v>13043553.663699999</v>
      </c>
      <c r="C212" s="2">
        <v>8530150.7117599994</v>
      </c>
      <c r="D212" s="2" t="s">
        <v>5538</v>
      </c>
      <c r="E212" s="2">
        <v>1310629216.0799999</v>
      </c>
      <c r="F212" s="2">
        <v>155.99</v>
      </c>
      <c r="G212" s="2">
        <v>168704000</v>
      </c>
      <c r="H212" s="2">
        <v>2386169539.8699999</v>
      </c>
      <c r="I212" s="2">
        <v>1830.0422208699999</v>
      </c>
      <c r="J212" s="2">
        <v>1.93784709</v>
      </c>
      <c r="K212" s="2">
        <v>41463</v>
      </c>
      <c r="L212" s="2">
        <v>85435619.839100003</v>
      </c>
      <c r="M212" s="2" t="s">
        <v>5539</v>
      </c>
      <c r="N212" s="2">
        <v>13.298927450000001</v>
      </c>
      <c r="O212" s="2">
        <v>3.7299999999999999E-6</v>
      </c>
      <c r="P212" s="2">
        <v>7254622</v>
      </c>
      <c r="Q212" s="2">
        <v>547</v>
      </c>
    </row>
    <row r="213" spans="1:17" x14ac:dyDescent="0.25">
      <c r="A213" s="1">
        <v>43397</v>
      </c>
      <c r="B213" s="2">
        <v>17710013.311700001</v>
      </c>
      <c r="C213" s="2">
        <v>9874331.2448900007</v>
      </c>
      <c r="D213" s="2" t="s">
        <v>5540</v>
      </c>
      <c r="E213" s="2">
        <v>1289092956.49</v>
      </c>
      <c r="F213" s="2">
        <v>153.47</v>
      </c>
      <c r="G213" s="2">
        <v>163230000</v>
      </c>
      <c r="H213" s="2">
        <v>2388229433.8400002</v>
      </c>
      <c r="I213" s="2">
        <v>1823.3510244500001</v>
      </c>
      <c r="J213" s="2">
        <v>2.63673891</v>
      </c>
      <c r="K213" s="2">
        <v>49383</v>
      </c>
      <c r="L213" s="2">
        <v>85718409.237900004</v>
      </c>
      <c r="M213" s="2" t="s">
        <v>5541</v>
      </c>
      <c r="N213" s="2">
        <v>13.0060407509</v>
      </c>
      <c r="O213" s="2">
        <v>3.7400000000000002E-6</v>
      </c>
      <c r="P213" s="2">
        <v>8556303</v>
      </c>
      <c r="Q213" s="2">
        <v>545</v>
      </c>
    </row>
    <row r="214" spans="1:17" x14ac:dyDescent="0.25">
      <c r="A214" s="1">
        <v>43396</v>
      </c>
      <c r="B214" s="2">
        <v>9339314.6930400003</v>
      </c>
      <c r="C214" s="2">
        <v>5920336.5135700004</v>
      </c>
      <c r="D214" s="2" t="s">
        <v>5542</v>
      </c>
      <c r="E214" s="2">
        <v>1273904264.28</v>
      </c>
      <c r="F214" s="2">
        <v>151.69</v>
      </c>
      <c r="G214" s="2">
        <v>165491000</v>
      </c>
      <c r="H214" s="2">
        <v>2390821913.3499999</v>
      </c>
      <c r="I214" s="2">
        <v>1846.7702119200001</v>
      </c>
      <c r="J214" s="2">
        <v>1.87845979</v>
      </c>
      <c r="K214" s="2">
        <v>38762</v>
      </c>
      <c r="L214" s="2">
        <v>85245988.474299997</v>
      </c>
      <c r="M214" s="2" t="s">
        <v>5543</v>
      </c>
      <c r="N214" s="2">
        <v>12.802968201100001</v>
      </c>
      <c r="O214" s="2">
        <v>2.26E-6</v>
      </c>
      <c r="P214" s="2">
        <v>6912924</v>
      </c>
      <c r="Q214" s="2">
        <v>552</v>
      </c>
    </row>
    <row r="215" spans="1:17" x14ac:dyDescent="0.25">
      <c r="A215" s="1">
        <v>43395</v>
      </c>
      <c r="B215" s="2">
        <v>11860533.846000001</v>
      </c>
      <c r="C215" s="2">
        <v>6937108.4169600001</v>
      </c>
      <c r="D215" s="2" t="s">
        <v>5544</v>
      </c>
      <c r="E215" s="2">
        <v>1296330446.27</v>
      </c>
      <c r="F215" s="2">
        <v>154.38999999999999</v>
      </c>
      <c r="G215" s="2">
        <v>104357000</v>
      </c>
      <c r="H215" s="2">
        <v>2392002839.9299998</v>
      </c>
      <c r="I215" s="2">
        <v>1840.0790155</v>
      </c>
      <c r="J215" s="2">
        <v>2.3377520700000001</v>
      </c>
      <c r="K215" s="2">
        <v>48305</v>
      </c>
      <c r="L215" s="2">
        <v>86113736.502800003</v>
      </c>
      <c r="M215" s="2" t="s">
        <v>5545</v>
      </c>
      <c r="N215" s="2">
        <v>14.891707520700001</v>
      </c>
      <c r="O215" s="2">
        <v>2.26E-6</v>
      </c>
      <c r="P215" s="2">
        <v>8365638</v>
      </c>
      <c r="Q215" s="2">
        <v>550</v>
      </c>
    </row>
    <row r="216" spans="1:17" x14ac:dyDescent="0.25">
      <c r="A216" s="1">
        <v>43394</v>
      </c>
      <c r="B216" s="2">
        <v>9586602.0548299998</v>
      </c>
      <c r="C216" s="2">
        <v>5699807.8132999996</v>
      </c>
      <c r="D216" s="2" t="s">
        <v>5546</v>
      </c>
      <c r="E216" s="2">
        <v>1299143844.25</v>
      </c>
      <c r="F216" s="2">
        <v>154.76</v>
      </c>
      <c r="G216" s="2">
        <v>137353000</v>
      </c>
      <c r="H216" s="2">
        <v>2393087253.8000002</v>
      </c>
      <c r="I216" s="2">
        <v>1820.0054262399999</v>
      </c>
      <c r="J216" s="2">
        <v>2.0940960199999998</v>
      </c>
      <c r="K216" s="2">
        <v>43337</v>
      </c>
      <c r="L216" s="2">
        <v>78358071.523699999</v>
      </c>
      <c r="M216" s="2" t="s">
        <v>5547</v>
      </c>
      <c r="N216" s="2">
        <v>12.380923808</v>
      </c>
      <c r="O216" s="2">
        <v>3.7299999999999999E-6</v>
      </c>
      <c r="P216" s="2">
        <v>7190250</v>
      </c>
      <c r="Q216" s="2">
        <v>544</v>
      </c>
    </row>
    <row r="217" spans="1:17" x14ac:dyDescent="0.25">
      <c r="A217" s="1">
        <v>43393</v>
      </c>
      <c r="B217" s="2">
        <v>26177286.598000001</v>
      </c>
      <c r="C217" s="2">
        <v>22312369.830899999</v>
      </c>
      <c r="D217" s="2" t="s">
        <v>5548</v>
      </c>
      <c r="E217" s="2">
        <v>1284508999.5999999</v>
      </c>
      <c r="F217" s="2">
        <v>153.05000000000001</v>
      </c>
      <c r="G217" s="2">
        <v>152333000</v>
      </c>
      <c r="H217" s="2">
        <v>2393879082.0999999</v>
      </c>
      <c r="I217" s="2">
        <v>1823.3510244500001</v>
      </c>
      <c r="J217" s="2">
        <v>1.70599101</v>
      </c>
      <c r="K217" s="2">
        <v>41222</v>
      </c>
      <c r="L217" s="2">
        <v>81952962.336300001</v>
      </c>
      <c r="M217" s="2" t="s">
        <v>5549</v>
      </c>
      <c r="N217" s="2">
        <v>9.2936582110000003</v>
      </c>
      <c r="O217" s="2">
        <v>3.7299999999999999E-6</v>
      </c>
      <c r="P217" s="2">
        <v>7077679</v>
      </c>
      <c r="Q217" s="2">
        <v>545</v>
      </c>
    </row>
    <row r="218" spans="1:17" x14ac:dyDescent="0.25">
      <c r="A218" s="1">
        <v>43392</v>
      </c>
      <c r="B218" s="2">
        <v>10119148.907199999</v>
      </c>
      <c r="C218" s="2">
        <v>6598543.9040799998</v>
      </c>
      <c r="D218" s="2" t="s">
        <v>5550</v>
      </c>
      <c r="E218" s="2">
        <v>1295524601.0599999</v>
      </c>
      <c r="F218" s="2">
        <v>154.4</v>
      </c>
      <c r="G218" s="2">
        <v>167318000</v>
      </c>
      <c r="H218" s="2">
        <v>2436250097.3099999</v>
      </c>
      <c r="I218" s="2">
        <v>1836.73341729</v>
      </c>
      <c r="J218" s="2">
        <v>2.5091138399999999</v>
      </c>
      <c r="K218" s="2">
        <v>45516</v>
      </c>
      <c r="L218" s="2">
        <v>77077846.572099999</v>
      </c>
      <c r="M218" s="2" t="s">
        <v>5551</v>
      </c>
      <c r="N218" s="2">
        <v>10.80810808</v>
      </c>
      <c r="O218" s="2">
        <v>2.26E-6</v>
      </c>
      <c r="P218" s="2">
        <v>8714785</v>
      </c>
      <c r="Q218" s="2">
        <v>549</v>
      </c>
    </row>
    <row r="219" spans="1:17" x14ac:dyDescent="0.25">
      <c r="A219" s="1">
        <v>43391</v>
      </c>
      <c r="B219" s="2">
        <v>11472056.578400001</v>
      </c>
      <c r="C219" s="2">
        <v>7906029.3240799997</v>
      </c>
      <c r="D219" s="2" t="s">
        <v>5552</v>
      </c>
      <c r="E219" s="2">
        <v>1341137681.9000001</v>
      </c>
      <c r="F219" s="2">
        <v>159.87</v>
      </c>
      <c r="G219" s="2">
        <v>171415000</v>
      </c>
      <c r="H219" s="2">
        <v>2437650582.5999999</v>
      </c>
      <c r="I219" s="2">
        <v>1850.11581013</v>
      </c>
      <c r="J219" s="2">
        <v>2.0680693200000002</v>
      </c>
      <c r="K219" s="2">
        <v>41159</v>
      </c>
      <c r="L219" s="2">
        <v>78399274.656599998</v>
      </c>
      <c r="M219" s="2" t="s">
        <v>5553</v>
      </c>
      <c r="N219" s="2">
        <v>11.678986307400001</v>
      </c>
      <c r="O219" s="2">
        <v>1.9199999999999998E-6</v>
      </c>
      <c r="P219" s="2">
        <v>12700400</v>
      </c>
      <c r="Q219" s="2">
        <v>553</v>
      </c>
    </row>
    <row r="220" spans="1:17" x14ac:dyDescent="0.25">
      <c r="A220" s="1">
        <v>43390</v>
      </c>
      <c r="B220" s="2">
        <v>11626433.0813</v>
      </c>
      <c r="C220" s="2">
        <v>7655502.5305899996</v>
      </c>
      <c r="D220" s="2" t="s">
        <v>5554</v>
      </c>
      <c r="E220" s="2">
        <v>1368856101.79</v>
      </c>
      <c r="F220" s="2">
        <v>163.21</v>
      </c>
      <c r="G220" s="2">
        <v>170806000</v>
      </c>
      <c r="H220" s="2">
        <v>2438821262.8600001</v>
      </c>
      <c r="I220" s="2">
        <v>1836.73341729</v>
      </c>
      <c r="J220" s="2">
        <v>2.0682698300000002</v>
      </c>
      <c r="K220" s="2">
        <v>48867</v>
      </c>
      <c r="L220" s="2">
        <v>73945537.699699998</v>
      </c>
      <c r="M220" s="2" t="s">
        <v>5555</v>
      </c>
      <c r="N220" s="2">
        <v>17.7089884351</v>
      </c>
      <c r="O220" s="2">
        <v>2.26E-6</v>
      </c>
      <c r="P220" s="2">
        <v>7907945</v>
      </c>
      <c r="Q220" s="2">
        <v>549</v>
      </c>
    </row>
    <row r="221" spans="1:17" x14ac:dyDescent="0.25">
      <c r="A221" s="1">
        <v>43389</v>
      </c>
      <c r="B221" s="2">
        <v>11759584.276000001</v>
      </c>
      <c r="C221" s="2">
        <v>7804902.7351599997</v>
      </c>
      <c r="D221" s="2" t="s">
        <v>5556</v>
      </c>
      <c r="E221" s="2">
        <v>1385344084.75</v>
      </c>
      <c r="F221" s="2">
        <v>165.21</v>
      </c>
      <c r="G221" s="2">
        <v>195519000</v>
      </c>
      <c r="H221" s="2">
        <v>2440242073.29</v>
      </c>
      <c r="I221" s="2">
        <v>1846.7702119200001</v>
      </c>
      <c r="J221" s="2">
        <v>2.2165883100000001</v>
      </c>
      <c r="K221" s="2">
        <v>40136</v>
      </c>
      <c r="L221" s="2">
        <v>66141041.896300003</v>
      </c>
      <c r="M221" s="2" t="s">
        <v>5557</v>
      </c>
      <c r="N221" s="2">
        <v>14.750778154200001</v>
      </c>
      <c r="O221" s="2">
        <v>3.7400000000000002E-6</v>
      </c>
      <c r="P221" s="2">
        <v>6542282</v>
      </c>
      <c r="Q221" s="2">
        <v>552</v>
      </c>
    </row>
    <row r="222" spans="1:17" x14ac:dyDescent="0.25">
      <c r="A222" s="1">
        <v>43388</v>
      </c>
      <c r="B222" s="2">
        <v>18268360.729600001</v>
      </c>
      <c r="C222" s="2">
        <v>11900267.499700001</v>
      </c>
      <c r="D222" s="2" t="s">
        <v>5558</v>
      </c>
      <c r="E222" s="2">
        <v>1317596525.6900001</v>
      </c>
      <c r="F222" s="2">
        <v>157.16999999999999</v>
      </c>
      <c r="G222" s="2">
        <v>167932000</v>
      </c>
      <c r="H222" s="2">
        <v>2441032197.25</v>
      </c>
      <c r="I222" s="2">
        <v>1826.69662266</v>
      </c>
      <c r="J222" s="2">
        <v>2.9649590899999998</v>
      </c>
      <c r="K222" s="2">
        <v>41042</v>
      </c>
      <c r="L222" s="2">
        <v>70450230.077299997</v>
      </c>
      <c r="M222" s="2" t="s">
        <v>5559</v>
      </c>
      <c r="N222" s="2">
        <v>12.8253061833</v>
      </c>
      <c r="O222" s="2">
        <v>3.7400000000000002E-6</v>
      </c>
      <c r="P222" s="2">
        <v>6648208</v>
      </c>
      <c r="Q222" s="2">
        <v>546</v>
      </c>
    </row>
    <row r="223" spans="1:17" x14ac:dyDescent="0.25">
      <c r="A223" s="1">
        <v>43387</v>
      </c>
      <c r="B223" s="2">
        <v>8497275.0703599993</v>
      </c>
      <c r="C223" s="2">
        <v>6385964.7169500003</v>
      </c>
      <c r="D223" s="2" t="s">
        <v>5560</v>
      </c>
      <c r="E223" s="2">
        <v>1351178344.0999999</v>
      </c>
      <c r="F223" s="2">
        <v>161.21</v>
      </c>
      <c r="G223" s="2">
        <v>147540000</v>
      </c>
      <c r="H223" s="2">
        <v>2443211425.04</v>
      </c>
      <c r="I223" s="2">
        <v>1826.69662266</v>
      </c>
      <c r="J223" s="2">
        <v>1.59461801</v>
      </c>
      <c r="K223" s="2">
        <v>34111</v>
      </c>
      <c r="L223" s="2">
        <v>71875455.648100004</v>
      </c>
      <c r="M223" s="2" t="s">
        <v>5561</v>
      </c>
      <c r="N223" s="2">
        <v>8.0605806050000002</v>
      </c>
      <c r="O223" s="2">
        <v>3.7299999999999999E-6</v>
      </c>
      <c r="P223" s="2">
        <v>5338431</v>
      </c>
      <c r="Q223" s="2">
        <v>546</v>
      </c>
    </row>
    <row r="224" spans="1:17" x14ac:dyDescent="0.25">
      <c r="A224" s="1">
        <v>43386</v>
      </c>
      <c r="B224" s="2">
        <v>7807328.5481500002</v>
      </c>
      <c r="C224" s="2">
        <v>5715798.7721300004</v>
      </c>
      <c r="D224" s="2" t="s">
        <v>5562</v>
      </c>
      <c r="E224" s="2">
        <v>1322351238.47</v>
      </c>
      <c r="F224" s="2">
        <v>157.80000000000001</v>
      </c>
      <c r="G224" s="2">
        <v>109154000</v>
      </c>
      <c r="H224" s="2">
        <v>2444132713.8400002</v>
      </c>
      <c r="I224" s="2">
        <v>1836.73341729</v>
      </c>
      <c r="J224" s="2">
        <v>1.6515540500000001</v>
      </c>
      <c r="K224" s="2">
        <v>33275</v>
      </c>
      <c r="L224" s="2">
        <v>71146730.159299999</v>
      </c>
      <c r="M224" s="2" t="s">
        <v>5563</v>
      </c>
      <c r="N224" s="2">
        <v>10.72522416</v>
      </c>
      <c r="O224" s="2">
        <v>3.7400000000000002E-6</v>
      </c>
      <c r="P224" s="2">
        <v>6134654</v>
      </c>
      <c r="Q224" s="2">
        <v>549</v>
      </c>
    </row>
    <row r="225" spans="1:17" x14ac:dyDescent="0.25">
      <c r="A225" s="1">
        <v>43385</v>
      </c>
      <c r="B225" s="2">
        <v>11929034.997400001</v>
      </c>
      <c r="C225" s="2">
        <v>8160927.5744899996</v>
      </c>
      <c r="D225" s="2" t="s">
        <v>5564</v>
      </c>
      <c r="E225" s="2">
        <v>1307392459.9400001</v>
      </c>
      <c r="F225" s="2">
        <v>156.05000000000001</v>
      </c>
      <c r="G225" s="2">
        <v>191719000</v>
      </c>
      <c r="H225" s="2">
        <v>2445016466.1500001</v>
      </c>
      <c r="I225" s="2">
        <v>1816.65982803</v>
      </c>
      <c r="J225" s="2">
        <v>2.9982428099999998</v>
      </c>
      <c r="K225" s="2">
        <v>43873</v>
      </c>
      <c r="L225" s="2">
        <v>71580762.113600001</v>
      </c>
      <c r="M225" s="2" t="s">
        <v>5565</v>
      </c>
      <c r="N225" s="2">
        <v>12.9303326495</v>
      </c>
      <c r="O225" s="2">
        <v>3.7400000000000002E-6</v>
      </c>
      <c r="P225" s="2">
        <v>13598388</v>
      </c>
      <c r="Q225" s="2">
        <v>543</v>
      </c>
    </row>
    <row r="226" spans="1:17" x14ac:dyDescent="0.25">
      <c r="A226" s="1">
        <v>43384</v>
      </c>
      <c r="B226" s="2">
        <v>17607270.770199999</v>
      </c>
      <c r="C226" s="2">
        <v>11442387.282099999</v>
      </c>
      <c r="D226" s="2" t="s">
        <v>5566</v>
      </c>
      <c r="E226" s="2">
        <v>1492447172.01</v>
      </c>
      <c r="F226" s="2">
        <v>178.18</v>
      </c>
      <c r="G226" s="2">
        <v>150780000</v>
      </c>
      <c r="H226" s="2">
        <v>2447463990.46</v>
      </c>
      <c r="I226" s="2">
        <v>1850.11581013</v>
      </c>
      <c r="J226" s="2">
        <v>2.5031831200000001</v>
      </c>
      <c r="K226" s="2">
        <v>44007</v>
      </c>
      <c r="L226" s="2">
        <v>73084086.807500005</v>
      </c>
      <c r="M226" s="2" t="s">
        <v>5567</v>
      </c>
      <c r="N226" s="2">
        <v>16.036360362</v>
      </c>
      <c r="O226" s="2">
        <v>3.7400000000000002E-6</v>
      </c>
      <c r="P226" s="2">
        <v>7263051</v>
      </c>
      <c r="Q226" s="2">
        <v>553</v>
      </c>
    </row>
    <row r="227" spans="1:17" x14ac:dyDescent="0.25">
      <c r="A227" s="1">
        <v>43383</v>
      </c>
      <c r="B227" s="2">
        <v>14279670.460100001</v>
      </c>
      <c r="C227" s="2">
        <v>9005248.9285199996</v>
      </c>
      <c r="D227" s="2" t="s">
        <v>5568</v>
      </c>
      <c r="E227" s="2">
        <v>1511604883.9300001</v>
      </c>
      <c r="F227" s="2">
        <v>180.51</v>
      </c>
      <c r="G227" s="2">
        <v>252133000</v>
      </c>
      <c r="H227" s="2">
        <v>2450488833.4499998</v>
      </c>
      <c r="I227" s="2">
        <v>1823.3510244500001</v>
      </c>
      <c r="J227" s="2">
        <v>2.4350167900000002</v>
      </c>
      <c r="K227" s="2">
        <v>41214</v>
      </c>
      <c r="L227" s="2">
        <v>64023475.670999996</v>
      </c>
      <c r="M227" s="2" t="s">
        <v>5569</v>
      </c>
      <c r="N227" s="2">
        <v>13.5015270456</v>
      </c>
      <c r="O227" s="2">
        <v>3.7299999999999999E-6</v>
      </c>
      <c r="P227" s="2">
        <v>6856231</v>
      </c>
      <c r="Q227" s="2">
        <v>545</v>
      </c>
    </row>
    <row r="228" spans="1:17" x14ac:dyDescent="0.25">
      <c r="A228" s="1">
        <v>43382</v>
      </c>
      <c r="B228" s="2">
        <v>17036473.636</v>
      </c>
      <c r="C228" s="2">
        <v>11737842.692600001</v>
      </c>
      <c r="D228" s="2" t="s">
        <v>5570</v>
      </c>
      <c r="E228" s="2">
        <v>1528749938.55</v>
      </c>
      <c r="F228" s="2">
        <v>182.59</v>
      </c>
      <c r="G228" s="2">
        <v>147767000</v>
      </c>
      <c r="H228" s="2">
        <v>2451641230.6100001</v>
      </c>
      <c r="I228" s="2">
        <v>1836.73341729</v>
      </c>
      <c r="J228" s="2">
        <v>2.16021492</v>
      </c>
      <c r="K228" s="2">
        <v>53974</v>
      </c>
      <c r="L228" s="2">
        <v>69406028.289800003</v>
      </c>
      <c r="M228" s="2" t="s">
        <v>5571</v>
      </c>
      <c r="N228" s="2">
        <v>15.3505658857</v>
      </c>
      <c r="O228" s="2">
        <v>3.7299999999999999E-6</v>
      </c>
      <c r="P228" s="2">
        <v>7456996</v>
      </c>
      <c r="Q228" s="2">
        <v>549</v>
      </c>
    </row>
    <row r="229" spans="1:17" x14ac:dyDescent="0.25">
      <c r="A229" s="1">
        <v>43381</v>
      </c>
      <c r="B229" s="2">
        <v>14046939.7961</v>
      </c>
      <c r="C229" s="2">
        <v>8696779.1361100003</v>
      </c>
      <c r="D229" s="2" t="s">
        <v>5572</v>
      </c>
      <c r="E229" s="2">
        <v>1509664541.21</v>
      </c>
      <c r="F229" s="2">
        <v>180.35</v>
      </c>
      <c r="G229" s="2">
        <v>150222000</v>
      </c>
      <c r="H229" s="2">
        <v>2454930388.4099998</v>
      </c>
      <c r="I229" s="2">
        <v>1836.73341729</v>
      </c>
      <c r="J229" s="2">
        <v>2.4015566000000002</v>
      </c>
      <c r="K229" s="2">
        <v>46672</v>
      </c>
      <c r="L229" s="2">
        <v>65621074.7267</v>
      </c>
      <c r="M229" s="2" t="s">
        <v>5573</v>
      </c>
      <c r="N229" s="2">
        <v>14.859900376500001</v>
      </c>
      <c r="O229" s="2">
        <v>3.7400000000000002E-6</v>
      </c>
      <c r="P229" s="2">
        <v>8077844</v>
      </c>
      <c r="Q229" s="2">
        <v>549</v>
      </c>
    </row>
    <row r="230" spans="1:17" x14ac:dyDescent="0.25">
      <c r="A230" s="1">
        <v>43380</v>
      </c>
      <c r="B230" s="2">
        <v>11406532.5853</v>
      </c>
      <c r="C230" s="2">
        <v>5647628.34968</v>
      </c>
      <c r="D230" s="2" t="s">
        <v>5574</v>
      </c>
      <c r="E230" s="2">
        <v>1512331079.3199999</v>
      </c>
      <c r="F230" s="2">
        <v>180.71</v>
      </c>
      <c r="G230" s="2">
        <v>207284000</v>
      </c>
      <c r="H230" s="2">
        <v>2455478276.1100001</v>
      </c>
      <c r="I230" s="2">
        <v>1833.3878190800001</v>
      </c>
      <c r="J230" s="2">
        <v>2.1565185699999998</v>
      </c>
      <c r="K230" s="2">
        <v>39353</v>
      </c>
      <c r="L230" s="2">
        <v>68791567.693399996</v>
      </c>
      <c r="M230" s="2" t="s">
        <v>5575</v>
      </c>
      <c r="N230" s="2">
        <v>11.1331907155</v>
      </c>
      <c r="O230" s="2">
        <v>3.7400000000000002E-6</v>
      </c>
      <c r="P230" s="2">
        <v>6891638</v>
      </c>
      <c r="Q230" s="2">
        <v>548</v>
      </c>
    </row>
    <row r="231" spans="1:17" x14ac:dyDescent="0.25">
      <c r="A231" s="1">
        <v>43379</v>
      </c>
      <c r="B231" s="2">
        <v>19821414.915600002</v>
      </c>
      <c r="C231" s="2">
        <v>11861963.514599999</v>
      </c>
      <c r="D231" s="2" t="s">
        <v>5576</v>
      </c>
      <c r="E231" s="2">
        <v>1525354341.95</v>
      </c>
      <c r="F231" s="2">
        <v>182.31</v>
      </c>
      <c r="G231" s="2">
        <v>275432000</v>
      </c>
      <c r="H231" s="2">
        <v>2457866041.8299999</v>
      </c>
      <c r="I231" s="2">
        <v>1836.73341729</v>
      </c>
      <c r="J231" s="2">
        <v>2.2605643099999999</v>
      </c>
      <c r="K231" s="2">
        <v>44760</v>
      </c>
      <c r="L231" s="2">
        <v>65055463.586999997</v>
      </c>
      <c r="M231" s="2" t="s">
        <v>5577</v>
      </c>
      <c r="N231" s="2">
        <v>13.419992240399999</v>
      </c>
      <c r="O231" s="2">
        <v>1.9199999999999998E-6</v>
      </c>
      <c r="P231" s="2">
        <v>45158024</v>
      </c>
      <c r="Q231" s="2">
        <v>549</v>
      </c>
    </row>
    <row r="232" spans="1:17" x14ac:dyDescent="0.25">
      <c r="A232" s="1">
        <v>43378</v>
      </c>
      <c r="B232" s="2">
        <v>19847024.0506</v>
      </c>
      <c r="C232" s="2">
        <v>10918807.738500001</v>
      </c>
      <c r="D232" s="2" t="s">
        <v>5578</v>
      </c>
      <c r="E232" s="2">
        <v>1511243915.9200001</v>
      </c>
      <c r="F232" s="2">
        <v>180.66</v>
      </c>
      <c r="G232" s="2">
        <v>216765000</v>
      </c>
      <c r="H232" s="2">
        <v>2458229808.6700001</v>
      </c>
      <c r="I232" s="2">
        <v>1823.3510244500001</v>
      </c>
      <c r="J232" s="2">
        <v>2.4874910899999998</v>
      </c>
      <c r="K232" s="2">
        <v>41744</v>
      </c>
      <c r="L232" s="2">
        <v>68642366.779599994</v>
      </c>
      <c r="M232" s="2" t="s">
        <v>5579</v>
      </c>
      <c r="N232" s="2">
        <v>13.731542049</v>
      </c>
      <c r="O232" s="2">
        <v>1.9199999999999998E-6</v>
      </c>
      <c r="P232" s="2">
        <v>20745185</v>
      </c>
      <c r="Q232" s="2">
        <v>545</v>
      </c>
    </row>
    <row r="233" spans="1:17" x14ac:dyDescent="0.25">
      <c r="A233" s="1">
        <v>43377</v>
      </c>
      <c r="B233" s="2">
        <v>18481927.494199999</v>
      </c>
      <c r="C233" s="2">
        <v>10117697.1138</v>
      </c>
      <c r="D233" s="2" t="s">
        <v>5580</v>
      </c>
      <c r="E233" s="2">
        <v>1485773598.3099999</v>
      </c>
      <c r="F233" s="2">
        <v>177.65</v>
      </c>
      <c r="G233" s="2">
        <v>309359000</v>
      </c>
      <c r="H233" s="2">
        <v>2457776849.8699999</v>
      </c>
      <c r="I233" s="2">
        <v>1853.4614083399999</v>
      </c>
      <c r="J233" s="2">
        <v>2.19835979</v>
      </c>
      <c r="K233" s="2">
        <v>49089</v>
      </c>
      <c r="L233" s="2">
        <v>67151160.113700002</v>
      </c>
      <c r="M233" s="2" t="s">
        <v>5581</v>
      </c>
      <c r="N233" s="2">
        <v>21.311441162000001</v>
      </c>
      <c r="O233" s="2">
        <v>2.26E-6</v>
      </c>
      <c r="P233" s="2">
        <v>8390917</v>
      </c>
      <c r="Q233" s="2">
        <v>554</v>
      </c>
    </row>
    <row r="234" spans="1:17" x14ac:dyDescent="0.25">
      <c r="A234" s="1">
        <v>43376</v>
      </c>
      <c r="B234" s="2">
        <v>14078813.8574</v>
      </c>
      <c r="C234" s="2">
        <v>9156962.77245</v>
      </c>
      <c r="D234" s="2" t="s">
        <v>5272</v>
      </c>
      <c r="E234" s="2">
        <v>1521776955.5899999</v>
      </c>
      <c r="F234" s="2">
        <v>182</v>
      </c>
      <c r="G234" s="2">
        <v>303071000</v>
      </c>
      <c r="H234" s="2">
        <v>2457620219.6599998</v>
      </c>
      <c r="I234" s="2">
        <v>1836.73341729</v>
      </c>
      <c r="J234" s="2">
        <v>3.15826144</v>
      </c>
      <c r="K234" s="2">
        <v>45263</v>
      </c>
      <c r="L234" s="2">
        <v>59560404.699000001</v>
      </c>
      <c r="M234" s="2" t="s">
        <v>5582</v>
      </c>
      <c r="N234" s="2">
        <v>22.954020180000001</v>
      </c>
      <c r="O234" s="2">
        <v>2.26E-6</v>
      </c>
      <c r="P234" s="2">
        <v>8018675</v>
      </c>
      <c r="Q234" s="2">
        <v>549</v>
      </c>
    </row>
    <row r="235" spans="1:17" x14ac:dyDescent="0.25">
      <c r="A235" s="1">
        <v>43375</v>
      </c>
      <c r="B235" s="2">
        <v>15001592.742900001</v>
      </c>
      <c r="C235" s="2">
        <v>10392636.9209</v>
      </c>
      <c r="D235" s="2" t="s">
        <v>5583</v>
      </c>
      <c r="E235" s="2">
        <v>1563057362.6300001</v>
      </c>
      <c r="F235" s="2">
        <v>186.98</v>
      </c>
      <c r="G235" s="2">
        <v>222211000</v>
      </c>
      <c r="H235" s="2">
        <v>2458247319.48</v>
      </c>
      <c r="I235" s="2">
        <v>7795.6230334000002</v>
      </c>
      <c r="J235" s="2">
        <v>3.0405380700000002</v>
      </c>
      <c r="K235" s="2">
        <v>41689</v>
      </c>
      <c r="L235" s="2">
        <v>68705598.633399993</v>
      </c>
      <c r="M235" s="2" t="s">
        <v>5584</v>
      </c>
      <c r="N235" s="2">
        <v>26.841304345200001</v>
      </c>
      <c r="O235" s="2">
        <v>5.1200000000000001E-6</v>
      </c>
      <c r="P235" s="2">
        <v>6983841</v>
      </c>
      <c r="Q235" s="2">
        <v>540</v>
      </c>
    </row>
    <row r="236" spans="1:17" x14ac:dyDescent="0.25">
      <c r="A236" s="1">
        <v>43374</v>
      </c>
      <c r="B236" s="2">
        <v>8912097.6344900001</v>
      </c>
      <c r="C236" s="2">
        <v>5518700.2226900002</v>
      </c>
      <c r="D236" s="2" t="s">
        <v>5585</v>
      </c>
      <c r="E236" s="2">
        <v>1563195590.55</v>
      </c>
      <c r="F236" s="2">
        <v>187.17</v>
      </c>
      <c r="G236" s="2">
        <v>368119000</v>
      </c>
      <c r="H236" s="2">
        <v>2458396385.73</v>
      </c>
      <c r="I236" s="2">
        <v>1836.73341729</v>
      </c>
      <c r="J236" s="2">
        <v>3.1502564400000002</v>
      </c>
      <c r="K236" s="2">
        <v>37655</v>
      </c>
      <c r="L236" s="2">
        <v>66567308.145800002</v>
      </c>
      <c r="M236" s="2" t="s">
        <v>5586</v>
      </c>
      <c r="N236" s="2">
        <v>31.819218189000001</v>
      </c>
      <c r="O236" s="2">
        <v>7.3599999999999998E-6</v>
      </c>
      <c r="P236" s="2">
        <v>6160225</v>
      </c>
      <c r="Q236" s="2">
        <v>549</v>
      </c>
    </row>
    <row r="237" spans="1:17" x14ac:dyDescent="0.25">
      <c r="A237" s="1">
        <v>43373</v>
      </c>
      <c r="B237" s="2">
        <v>10942304.693</v>
      </c>
      <c r="C237" s="2">
        <v>7240114.5078499997</v>
      </c>
      <c r="D237" s="2" t="s">
        <v>5587</v>
      </c>
      <c r="E237" s="2">
        <v>1573939846.48</v>
      </c>
      <c r="F237" s="2">
        <v>188.5</v>
      </c>
      <c r="G237" s="2">
        <v>281672000</v>
      </c>
      <c r="H237" s="2">
        <v>2459193618.0999999</v>
      </c>
      <c r="I237" s="2">
        <v>1840.0790155</v>
      </c>
      <c r="J237" s="2">
        <v>2.48978353</v>
      </c>
      <c r="K237" s="2">
        <v>28596</v>
      </c>
      <c r="L237" s="2">
        <v>66186359.204800002</v>
      </c>
      <c r="M237" s="2" t="s">
        <v>5588</v>
      </c>
      <c r="N237" s="2">
        <v>27.011256414999998</v>
      </c>
      <c r="O237" s="2">
        <v>6.7599999999999997E-6</v>
      </c>
      <c r="P237" s="2">
        <v>5193989</v>
      </c>
      <c r="Q237" s="2">
        <v>550</v>
      </c>
    </row>
    <row r="238" spans="1:17" x14ac:dyDescent="0.25">
      <c r="A238" s="1">
        <v>43372</v>
      </c>
      <c r="B238" s="2">
        <v>16714318.9334</v>
      </c>
      <c r="C238" s="2">
        <v>9790652.3880000003</v>
      </c>
      <c r="D238" s="2" t="s">
        <v>5589</v>
      </c>
      <c r="E238" s="2">
        <v>1562699380.25</v>
      </c>
      <c r="F238" s="2">
        <v>187.19</v>
      </c>
      <c r="G238" s="2">
        <v>297395000</v>
      </c>
      <c r="H238" s="2">
        <v>2460735474.1900001</v>
      </c>
      <c r="I238" s="2">
        <v>1843.4246137099999</v>
      </c>
      <c r="J238" s="2">
        <v>2.68337929</v>
      </c>
      <c r="K238" s="2">
        <v>33618</v>
      </c>
      <c r="L238" s="2">
        <v>68039725.895999998</v>
      </c>
      <c r="M238" s="2" t="s">
        <v>5590</v>
      </c>
      <c r="N238" s="2">
        <v>23.947010791</v>
      </c>
      <c r="O238" s="2">
        <v>1.0000000000000001E-5</v>
      </c>
      <c r="P238" s="2">
        <v>5612122</v>
      </c>
      <c r="Q238" s="2">
        <v>551</v>
      </c>
    </row>
    <row r="239" spans="1:17" x14ac:dyDescent="0.25">
      <c r="A239" s="1">
        <v>43371</v>
      </c>
      <c r="B239" s="2">
        <v>18260505.234999999</v>
      </c>
      <c r="C239" s="2">
        <v>13067228.156199999</v>
      </c>
      <c r="D239" s="2" t="s">
        <v>5591</v>
      </c>
      <c r="E239" s="2">
        <v>1621178865.6600001</v>
      </c>
      <c r="F239" s="2">
        <v>194.24</v>
      </c>
      <c r="G239" s="2">
        <v>224084000</v>
      </c>
      <c r="H239" s="2">
        <v>2461280135.54</v>
      </c>
      <c r="I239" s="2">
        <v>1840.0790155</v>
      </c>
      <c r="J239" s="2">
        <v>2.7893793599999999</v>
      </c>
      <c r="K239" s="2">
        <v>38385</v>
      </c>
      <c r="L239" s="2">
        <v>68346918.004299998</v>
      </c>
      <c r="M239" s="2" t="s">
        <v>5592</v>
      </c>
      <c r="N239" s="2">
        <v>30.031592079999999</v>
      </c>
      <c r="O239" s="2">
        <v>7.4800000000000004E-6</v>
      </c>
      <c r="P239" s="2">
        <v>6754352</v>
      </c>
      <c r="Q239" s="2">
        <v>550</v>
      </c>
    </row>
    <row r="240" spans="1:17" x14ac:dyDescent="0.25">
      <c r="A240" s="1">
        <v>43370</v>
      </c>
      <c r="B240" s="2">
        <v>17754559.001699999</v>
      </c>
      <c r="C240" s="2">
        <v>12090456.022700001</v>
      </c>
      <c r="D240" s="2" t="s">
        <v>5593</v>
      </c>
      <c r="E240" s="2">
        <v>1540780997.45</v>
      </c>
      <c r="F240" s="2">
        <v>184.65</v>
      </c>
      <c r="G240" s="2">
        <v>243512000</v>
      </c>
      <c r="H240" s="2">
        <v>2462884129.25</v>
      </c>
      <c r="I240" s="2">
        <v>1836.73341729</v>
      </c>
      <c r="J240" s="2">
        <v>3.0998531200000001</v>
      </c>
      <c r="K240" s="2">
        <v>42730</v>
      </c>
      <c r="L240" s="2">
        <v>70005011.333399996</v>
      </c>
      <c r="M240" s="2" t="s">
        <v>5594</v>
      </c>
      <c r="N240" s="2">
        <v>28.045797909000001</v>
      </c>
      <c r="O240" s="2">
        <v>8.1699999999999997E-6</v>
      </c>
      <c r="P240" s="2">
        <v>6575753</v>
      </c>
      <c r="Q240" s="2">
        <v>549</v>
      </c>
    </row>
    <row r="241" spans="1:17" x14ac:dyDescent="0.25">
      <c r="A241" s="1">
        <v>43369</v>
      </c>
      <c r="B241" s="2">
        <v>19910409.578299999</v>
      </c>
      <c r="C241" s="2">
        <v>12467922.9081</v>
      </c>
      <c r="D241" s="2" t="s">
        <v>5595</v>
      </c>
      <c r="E241" s="2">
        <v>1579852628.75</v>
      </c>
      <c r="F241" s="2">
        <v>189.37</v>
      </c>
      <c r="G241" s="2">
        <v>179411000</v>
      </c>
      <c r="H241" s="2">
        <v>2463159221.9000001</v>
      </c>
      <c r="I241" s="2">
        <v>1823.3510244500001</v>
      </c>
      <c r="J241" s="2">
        <v>3.0137837799999998</v>
      </c>
      <c r="K241" s="2">
        <v>37641</v>
      </c>
      <c r="L241" s="2">
        <v>72934136.262600005</v>
      </c>
      <c r="M241" s="2" t="s">
        <v>5596</v>
      </c>
      <c r="N241" s="2">
        <v>24.618346181</v>
      </c>
      <c r="O241" s="2">
        <v>2.26E-6</v>
      </c>
      <c r="P241" s="2">
        <v>6984878</v>
      </c>
      <c r="Q241" s="2">
        <v>545</v>
      </c>
    </row>
    <row r="242" spans="1:17" x14ac:dyDescent="0.25">
      <c r="A242" s="1">
        <v>43368</v>
      </c>
      <c r="B242" s="2">
        <v>25077338.9454</v>
      </c>
      <c r="C242" s="2">
        <v>13623059.7586</v>
      </c>
      <c r="D242" s="2" t="s">
        <v>5597</v>
      </c>
      <c r="E242" s="2">
        <v>1650093506.25</v>
      </c>
      <c r="F242" s="2">
        <v>197.83</v>
      </c>
      <c r="G242" s="2">
        <v>150086000</v>
      </c>
      <c r="H242" s="2">
        <v>2464085535.71</v>
      </c>
      <c r="I242" s="2">
        <v>1826.69662266</v>
      </c>
      <c r="J242" s="2">
        <v>3.05926936</v>
      </c>
      <c r="K242" s="2">
        <v>35745</v>
      </c>
      <c r="L242" s="2">
        <v>64440226.575099997</v>
      </c>
      <c r="M242" s="2" t="s">
        <v>5598</v>
      </c>
      <c r="N242" s="2">
        <v>33.631436311000002</v>
      </c>
      <c r="O242" s="2">
        <v>9.6600000000000007E-6</v>
      </c>
      <c r="P242" s="2">
        <v>6247224</v>
      </c>
      <c r="Q242" s="2">
        <v>546</v>
      </c>
    </row>
    <row r="243" spans="1:17" x14ac:dyDescent="0.25">
      <c r="A243" s="1">
        <v>43367</v>
      </c>
      <c r="B243" s="2">
        <v>20214712.907099999</v>
      </c>
      <c r="C243" s="2">
        <v>12393960.4165</v>
      </c>
      <c r="D243" s="2" t="s">
        <v>5599</v>
      </c>
      <c r="E243" s="2">
        <v>1710050976.45</v>
      </c>
      <c r="F243" s="2">
        <v>205.07</v>
      </c>
      <c r="G243" s="2">
        <v>164016000</v>
      </c>
      <c r="H243" s="2">
        <v>2465318529.6500001</v>
      </c>
      <c r="I243" s="2">
        <v>1843.4246137099999</v>
      </c>
      <c r="J243" s="2">
        <v>2.4216610900000002</v>
      </c>
      <c r="K243" s="2">
        <v>31810</v>
      </c>
      <c r="L243" s="2">
        <v>68989662.142000005</v>
      </c>
      <c r="M243" s="2" t="s">
        <v>5600</v>
      </c>
      <c r="N243" s="2">
        <v>38.963689633000001</v>
      </c>
      <c r="O243" s="2">
        <v>1.0000000000000001E-5</v>
      </c>
      <c r="P243" s="2">
        <v>5691231</v>
      </c>
      <c r="Q243" s="2">
        <v>551</v>
      </c>
    </row>
    <row r="244" spans="1:17" x14ac:dyDescent="0.25">
      <c r="A244" s="1">
        <v>43366</v>
      </c>
      <c r="B244" s="2">
        <v>12693992.9167</v>
      </c>
      <c r="C244" s="2">
        <v>8726888.8739800006</v>
      </c>
      <c r="D244" s="2" t="s">
        <v>5601</v>
      </c>
      <c r="E244" s="2">
        <v>1708082163.23</v>
      </c>
      <c r="F244" s="2">
        <v>204.88</v>
      </c>
      <c r="G244" s="2">
        <v>156285000</v>
      </c>
      <c r="H244" s="2">
        <v>2465946284.5900002</v>
      </c>
      <c r="I244" s="2">
        <v>1820.0054262399999</v>
      </c>
      <c r="J244" s="2">
        <v>2.7214201899999999</v>
      </c>
      <c r="K244" s="2">
        <v>28047</v>
      </c>
      <c r="L244" s="2">
        <v>73006756.445600003</v>
      </c>
      <c r="M244" s="2" t="s">
        <v>5602</v>
      </c>
      <c r="N244" s="2">
        <v>41.834967595199998</v>
      </c>
      <c r="O244" s="2">
        <v>8.1699999999999997E-6</v>
      </c>
      <c r="P244" s="2">
        <v>5315914</v>
      </c>
      <c r="Q244" s="2">
        <v>544</v>
      </c>
    </row>
    <row r="245" spans="1:17" x14ac:dyDescent="0.25">
      <c r="A245" s="1">
        <v>43365</v>
      </c>
      <c r="B245" s="2">
        <v>15891464.451400001</v>
      </c>
      <c r="C245" s="2">
        <v>12857068.275</v>
      </c>
      <c r="D245" s="2" t="s">
        <v>5603</v>
      </c>
      <c r="E245" s="2">
        <v>1733738984.8900001</v>
      </c>
      <c r="F245" s="2">
        <v>208</v>
      </c>
      <c r="G245" s="2">
        <v>169790000</v>
      </c>
      <c r="H245" s="2">
        <v>2466701941.6399999</v>
      </c>
      <c r="I245" s="2">
        <v>1840.0790155</v>
      </c>
      <c r="J245" s="2">
        <v>2.57923693</v>
      </c>
      <c r="K245" s="2">
        <v>28985</v>
      </c>
      <c r="L245" s="2">
        <v>68971900.575100005</v>
      </c>
      <c r="M245" s="2" t="s">
        <v>5604</v>
      </c>
      <c r="N245" s="2">
        <v>28.217203040000001</v>
      </c>
      <c r="O245" s="2">
        <v>6.7000000000000002E-6</v>
      </c>
      <c r="P245" s="2">
        <v>5131502</v>
      </c>
      <c r="Q245" s="2">
        <v>550</v>
      </c>
    </row>
    <row r="246" spans="1:17" x14ac:dyDescent="0.25">
      <c r="A246" s="1">
        <v>43364</v>
      </c>
      <c r="B246" s="2">
        <v>30989845.5506</v>
      </c>
      <c r="C246" s="2">
        <v>17475988.725699998</v>
      </c>
      <c r="D246" s="2" t="s">
        <v>5605</v>
      </c>
      <c r="E246" s="2">
        <v>1671030938.98</v>
      </c>
      <c r="F246" s="2">
        <v>200.52</v>
      </c>
      <c r="G246" s="2">
        <v>206347000</v>
      </c>
      <c r="H246" s="2">
        <v>2466648541.5700002</v>
      </c>
      <c r="I246" s="2">
        <v>1826.69662266</v>
      </c>
      <c r="J246" s="2">
        <v>3.1649744599999998</v>
      </c>
      <c r="K246" s="2">
        <v>32423</v>
      </c>
      <c r="L246" s="2">
        <v>66142213.653700002</v>
      </c>
      <c r="M246" s="2" t="s">
        <v>5606</v>
      </c>
      <c r="N246" s="2">
        <v>28.952084210399999</v>
      </c>
      <c r="O246" s="2">
        <v>8.1499999999999999E-6</v>
      </c>
      <c r="P246" s="2">
        <v>5822763</v>
      </c>
      <c r="Q246" s="2">
        <v>546</v>
      </c>
    </row>
    <row r="247" spans="1:17" x14ac:dyDescent="0.25">
      <c r="A247" s="1">
        <v>43363</v>
      </c>
      <c r="B247" s="2">
        <v>19985120.9932</v>
      </c>
      <c r="C247" s="2">
        <v>11408500.730699999</v>
      </c>
      <c r="D247" s="2" t="s">
        <v>5607</v>
      </c>
      <c r="E247" s="2">
        <v>1594779127.0999999</v>
      </c>
      <c r="F247" s="2">
        <v>191.41</v>
      </c>
      <c r="G247" s="2">
        <v>210051000</v>
      </c>
      <c r="H247" s="2">
        <v>2466349397.6199999</v>
      </c>
      <c r="I247" s="2">
        <v>1826.69662266</v>
      </c>
      <c r="J247" s="2">
        <v>3.0039178299999998</v>
      </c>
      <c r="K247" s="2">
        <v>49836</v>
      </c>
      <c r="L247" s="2">
        <v>66424783.272299998</v>
      </c>
      <c r="M247" s="2" t="s">
        <v>5608</v>
      </c>
      <c r="N247" s="2">
        <v>2.1874794184000002</v>
      </c>
      <c r="O247" s="2">
        <v>3.7400000000000002E-6</v>
      </c>
      <c r="P247" s="2">
        <v>9296262</v>
      </c>
      <c r="Q247" s="2">
        <v>546</v>
      </c>
    </row>
    <row r="248" spans="1:17" x14ac:dyDescent="0.25">
      <c r="A248" s="1">
        <v>43362</v>
      </c>
      <c r="B248" s="2">
        <v>16685026.9891</v>
      </c>
      <c r="C248" s="2">
        <v>12495356.9736</v>
      </c>
      <c r="D248" s="2" t="s">
        <v>5609</v>
      </c>
      <c r="E248" s="2">
        <v>1595255214.4300001</v>
      </c>
      <c r="F248" s="2">
        <v>191.51</v>
      </c>
      <c r="G248" s="2">
        <v>194043000</v>
      </c>
      <c r="H248" s="2">
        <v>2468019301.6599998</v>
      </c>
      <c r="I248" s="2">
        <v>1840.0790155</v>
      </c>
      <c r="J248" s="2">
        <v>2.7412851900000001</v>
      </c>
      <c r="K248" s="2">
        <v>42926</v>
      </c>
      <c r="L248" s="2">
        <v>67967643.406000003</v>
      </c>
      <c r="M248" s="2" t="s">
        <v>5610</v>
      </c>
      <c r="N248" s="2">
        <v>2.2926121724000001</v>
      </c>
      <c r="O248" s="2">
        <v>3.7400000000000002E-6</v>
      </c>
      <c r="P248" s="2">
        <v>7122263</v>
      </c>
      <c r="Q248" s="2">
        <v>550</v>
      </c>
    </row>
    <row r="249" spans="1:17" x14ac:dyDescent="0.25">
      <c r="A249" s="1">
        <v>43361</v>
      </c>
      <c r="B249" s="2">
        <v>14333078.9027</v>
      </c>
      <c r="C249" s="2">
        <v>9504696.7163299993</v>
      </c>
      <c r="D249" s="2" t="s">
        <v>5611</v>
      </c>
      <c r="E249" s="2">
        <v>1528198301.5</v>
      </c>
      <c r="F249" s="2">
        <v>183.5</v>
      </c>
      <c r="G249" s="2">
        <v>262497000</v>
      </c>
      <c r="H249" s="2">
        <v>2468684417.2600002</v>
      </c>
      <c r="I249" s="2">
        <v>1846.7702119200001</v>
      </c>
      <c r="J249" s="2">
        <v>2.8151150999999999</v>
      </c>
      <c r="K249" s="2">
        <v>34830</v>
      </c>
      <c r="L249" s="2">
        <v>70445341.684100002</v>
      </c>
      <c r="M249" s="2" t="s">
        <v>5612</v>
      </c>
      <c r="N249" s="2">
        <v>56.885568849999999</v>
      </c>
      <c r="O249" s="2">
        <v>6.7000000000000002E-6</v>
      </c>
      <c r="P249" s="2">
        <v>5674096</v>
      </c>
      <c r="Q249" s="2">
        <v>552</v>
      </c>
    </row>
    <row r="250" spans="1:17" x14ac:dyDescent="0.25">
      <c r="A250" s="1">
        <v>43360</v>
      </c>
      <c r="B250" s="2">
        <v>38999844.032499999</v>
      </c>
      <c r="C250" s="2">
        <v>24674655.145100001</v>
      </c>
      <c r="D250" s="2" t="s">
        <v>5613</v>
      </c>
      <c r="E250" s="2">
        <v>1608940502.2</v>
      </c>
      <c r="F250" s="2">
        <v>193.24</v>
      </c>
      <c r="G250" s="2">
        <v>213697000</v>
      </c>
      <c r="H250" s="2">
        <v>2468349380.8000002</v>
      </c>
      <c r="I250" s="2">
        <v>1826.69662266</v>
      </c>
      <c r="J250" s="2">
        <v>3.0922962900000002</v>
      </c>
      <c r="K250" s="2">
        <v>30162</v>
      </c>
      <c r="L250" s="2">
        <v>62527048.763700001</v>
      </c>
      <c r="M250" s="2" t="s">
        <v>5614</v>
      </c>
      <c r="N250" s="2">
        <v>28.967908871199999</v>
      </c>
      <c r="O250" s="2">
        <v>5.1000000000000003E-6</v>
      </c>
      <c r="P250" s="2">
        <v>5483515</v>
      </c>
      <c r="Q250" s="2">
        <v>546</v>
      </c>
    </row>
    <row r="251" spans="1:17" x14ac:dyDescent="0.25">
      <c r="A251" s="1">
        <v>43359</v>
      </c>
      <c r="B251" s="2">
        <v>15020859.058</v>
      </c>
      <c r="C251" s="2">
        <v>9463754.8569099996</v>
      </c>
      <c r="D251" s="2" t="s">
        <v>5615</v>
      </c>
      <c r="E251" s="2">
        <v>1597633306.27</v>
      </c>
      <c r="F251" s="2">
        <v>191.92</v>
      </c>
      <c r="G251" s="2">
        <v>293870000</v>
      </c>
      <c r="H251" s="2">
        <v>2470745113.6100001</v>
      </c>
      <c r="I251" s="2">
        <v>1823.3510244500001</v>
      </c>
      <c r="J251" s="2">
        <v>2.1193638199999998</v>
      </c>
      <c r="K251" s="2">
        <v>35369</v>
      </c>
      <c r="L251" s="2">
        <v>67176507.187800005</v>
      </c>
      <c r="M251" s="2" t="s">
        <v>5616</v>
      </c>
      <c r="N251" s="2">
        <v>13.434534343999999</v>
      </c>
      <c r="O251" s="2">
        <v>3.7400000000000002E-6</v>
      </c>
      <c r="P251" s="2">
        <v>6072766</v>
      </c>
      <c r="Q251" s="2">
        <v>545</v>
      </c>
    </row>
    <row r="252" spans="1:17" x14ac:dyDescent="0.25">
      <c r="A252" s="1">
        <v>43358</v>
      </c>
      <c r="B252" s="2">
        <v>18169784.892999999</v>
      </c>
      <c r="C252" s="2">
        <v>12082103.9561</v>
      </c>
      <c r="D252" s="2" t="s">
        <v>5617</v>
      </c>
      <c r="E252" s="2">
        <v>1588552970.71</v>
      </c>
      <c r="F252" s="2">
        <v>190.87</v>
      </c>
      <c r="G252" s="2">
        <v>171229000</v>
      </c>
      <c r="H252" s="2">
        <v>2471304824.2600002</v>
      </c>
      <c r="I252" s="2">
        <v>1846.7702119200001</v>
      </c>
      <c r="J252" s="2">
        <v>2.50232432</v>
      </c>
      <c r="K252" s="2">
        <v>49488</v>
      </c>
      <c r="L252" s="2">
        <v>63810239.136299998</v>
      </c>
      <c r="M252" s="2" t="s">
        <v>5618</v>
      </c>
      <c r="N252" s="2">
        <v>30.539505391999999</v>
      </c>
      <c r="O252" s="2">
        <v>5.22E-6</v>
      </c>
      <c r="P252" s="2">
        <v>7876419</v>
      </c>
      <c r="Q252" s="2">
        <v>552</v>
      </c>
    </row>
    <row r="253" spans="1:17" x14ac:dyDescent="0.25">
      <c r="A253" s="1">
        <v>43357</v>
      </c>
      <c r="B253" s="2">
        <v>16237088.434</v>
      </c>
      <c r="C253" s="2">
        <v>9576008.0021400005</v>
      </c>
      <c r="D253" s="2" t="s">
        <v>5619</v>
      </c>
      <c r="E253" s="2">
        <v>1606330316.8800001</v>
      </c>
      <c r="F253" s="2">
        <v>193.05</v>
      </c>
      <c r="G253" s="2">
        <v>215844000</v>
      </c>
      <c r="H253" s="2">
        <v>2471574946.3600001</v>
      </c>
      <c r="I253" s="2">
        <v>1820.0054262399999</v>
      </c>
      <c r="J253" s="2">
        <v>3.1234709500000002</v>
      </c>
      <c r="K253" s="2">
        <v>42093</v>
      </c>
      <c r="L253" s="2">
        <v>66664459.145499997</v>
      </c>
      <c r="M253" s="2" t="s">
        <v>5620</v>
      </c>
      <c r="N253" s="2">
        <v>28.768498258499999</v>
      </c>
      <c r="O253" s="2">
        <v>5.22E-6</v>
      </c>
      <c r="P253" s="2">
        <v>6869125</v>
      </c>
      <c r="Q253" s="2">
        <v>544</v>
      </c>
    </row>
    <row r="254" spans="1:17" x14ac:dyDescent="0.25">
      <c r="A254" s="1">
        <v>43356</v>
      </c>
      <c r="B254" s="2">
        <v>22220130.144499999</v>
      </c>
      <c r="C254" s="2">
        <v>13714319.0613</v>
      </c>
      <c r="D254" s="2" t="s">
        <v>5621</v>
      </c>
      <c r="E254" s="2">
        <v>1542658411.6300001</v>
      </c>
      <c r="F254" s="2">
        <v>185.44</v>
      </c>
      <c r="G254" s="2">
        <v>171149000</v>
      </c>
      <c r="H254" s="2">
        <v>2471554026.0900002</v>
      </c>
      <c r="I254" s="2">
        <v>1840.0790155</v>
      </c>
      <c r="J254" s="2">
        <v>3.3493961300000001</v>
      </c>
      <c r="K254" s="2">
        <v>36179</v>
      </c>
      <c r="L254" s="2">
        <v>64058274.386799999</v>
      </c>
      <c r="M254" s="2" t="s">
        <v>5622</v>
      </c>
      <c r="N254" s="2">
        <v>59.155360000000002</v>
      </c>
      <c r="O254" s="2">
        <v>9.6600000000000007E-6</v>
      </c>
      <c r="P254" s="2">
        <v>6905947</v>
      </c>
      <c r="Q254" s="2">
        <v>550</v>
      </c>
    </row>
    <row r="255" spans="1:17" x14ac:dyDescent="0.25">
      <c r="A255" s="1">
        <v>43355</v>
      </c>
      <c r="B255" s="2">
        <v>22750189.639600001</v>
      </c>
      <c r="C255" s="2">
        <v>14783495.9596</v>
      </c>
      <c r="D255" s="2" t="s">
        <v>5623</v>
      </c>
      <c r="E255" s="2">
        <v>1560468093.48</v>
      </c>
      <c r="F255" s="2">
        <v>187.62</v>
      </c>
      <c r="G255" s="2">
        <v>231141000</v>
      </c>
      <c r="H255" s="2">
        <v>2474200595.29</v>
      </c>
      <c r="I255" s="2">
        <v>1856.8070065500001</v>
      </c>
      <c r="J255" s="2">
        <v>3.7075742599999999</v>
      </c>
      <c r="K255" s="2">
        <v>36762</v>
      </c>
      <c r="L255" s="2">
        <v>65469992.710699998</v>
      </c>
      <c r="M255" s="2" t="s">
        <v>5624</v>
      </c>
      <c r="N255" s="2">
        <v>39.633950129399999</v>
      </c>
      <c r="O255" s="2">
        <v>7.8399999999999995E-6</v>
      </c>
      <c r="P255" s="2">
        <v>7403757</v>
      </c>
      <c r="Q255" s="2">
        <v>555</v>
      </c>
    </row>
    <row r="256" spans="1:17" x14ac:dyDescent="0.25">
      <c r="A256" s="1">
        <v>43354</v>
      </c>
      <c r="B256" s="2">
        <v>33112807.2212</v>
      </c>
      <c r="C256" s="2">
        <v>23311069.368900001</v>
      </c>
      <c r="D256" s="2" t="s">
        <v>5625</v>
      </c>
      <c r="E256" s="2">
        <v>1681303879.8800001</v>
      </c>
      <c r="F256" s="2">
        <v>202.2</v>
      </c>
      <c r="G256" s="2">
        <v>144562000</v>
      </c>
      <c r="H256" s="2">
        <v>2475807481.8600001</v>
      </c>
      <c r="I256" s="2">
        <v>1816.65982803</v>
      </c>
      <c r="J256" s="2">
        <v>3.2496238100000001</v>
      </c>
      <c r="K256" s="2">
        <v>60320</v>
      </c>
      <c r="L256" s="2">
        <v>66390236.984399997</v>
      </c>
      <c r="M256" s="2" t="s">
        <v>5626</v>
      </c>
      <c r="N256" s="2">
        <v>35.418488363999998</v>
      </c>
      <c r="O256" s="2">
        <v>4.8099999999999997E-6</v>
      </c>
      <c r="P256" s="2">
        <v>7608612</v>
      </c>
      <c r="Q256" s="2">
        <v>543</v>
      </c>
    </row>
    <row r="257" spans="1:17" x14ac:dyDescent="0.25">
      <c r="A257" s="1">
        <v>43353</v>
      </c>
      <c r="B257" s="2">
        <v>30667032.4705</v>
      </c>
      <c r="C257" s="2">
        <v>19705060.077399999</v>
      </c>
      <c r="D257" s="2" t="s">
        <v>5627</v>
      </c>
      <c r="E257" s="2">
        <v>1612104405.95</v>
      </c>
      <c r="F257" s="2">
        <v>193.92</v>
      </c>
      <c r="G257" s="2">
        <v>197999000</v>
      </c>
      <c r="H257" s="2">
        <v>2477737362.1300001</v>
      </c>
      <c r="I257" s="2">
        <v>1840.0790155</v>
      </c>
      <c r="J257" s="2">
        <v>3.6006107200000002</v>
      </c>
      <c r="K257" s="2">
        <v>42146</v>
      </c>
      <c r="L257" s="2">
        <v>64269837.816</v>
      </c>
      <c r="M257" s="2" t="s">
        <v>5628</v>
      </c>
      <c r="N257" s="2">
        <v>40.077056620800001</v>
      </c>
      <c r="O257" s="2">
        <v>5.22E-6</v>
      </c>
      <c r="P257" s="2">
        <v>7167433</v>
      </c>
      <c r="Q257" s="2">
        <v>550</v>
      </c>
    </row>
    <row r="258" spans="1:17" x14ac:dyDescent="0.25">
      <c r="A258" s="1">
        <v>43352</v>
      </c>
      <c r="B258" s="2">
        <v>14092925.670399999</v>
      </c>
      <c r="C258" s="2">
        <v>10161507.2962</v>
      </c>
      <c r="D258" s="2" t="s">
        <v>5629</v>
      </c>
      <c r="E258" s="2">
        <v>1545508481.49</v>
      </c>
      <c r="F258" s="2">
        <v>185.95</v>
      </c>
      <c r="G258" s="2">
        <v>239540000</v>
      </c>
      <c r="H258" s="2">
        <v>2479272790.02</v>
      </c>
      <c r="I258" s="2">
        <v>1833.3878190800001</v>
      </c>
      <c r="J258" s="2">
        <v>2.8769193099999999</v>
      </c>
      <c r="K258" s="2">
        <v>38430</v>
      </c>
      <c r="L258" s="2">
        <v>59609772.3609</v>
      </c>
      <c r="M258" s="2" t="s">
        <v>5630</v>
      </c>
      <c r="N258" s="2">
        <v>35.330853304999998</v>
      </c>
      <c r="O258" s="2">
        <v>6.6800000000000004E-6</v>
      </c>
      <c r="P258" s="2">
        <v>6348659</v>
      </c>
      <c r="Q258" s="2">
        <v>548</v>
      </c>
    </row>
    <row r="259" spans="1:17" x14ac:dyDescent="0.25">
      <c r="A259" s="1">
        <v>43351</v>
      </c>
      <c r="B259" s="2">
        <v>36424647.340800002</v>
      </c>
      <c r="C259" s="2">
        <v>21244587.250799999</v>
      </c>
      <c r="D259" s="2" t="s">
        <v>5631</v>
      </c>
      <c r="E259" s="2">
        <v>1560059107.0799999</v>
      </c>
      <c r="F259" s="2">
        <v>187.74</v>
      </c>
      <c r="G259" s="2">
        <v>270179000</v>
      </c>
      <c r="H259" s="2">
        <v>2480038213.1500001</v>
      </c>
      <c r="I259" s="2">
        <v>1826.69662266</v>
      </c>
      <c r="J259" s="2">
        <v>2.86988194</v>
      </c>
      <c r="K259" s="2">
        <v>32911</v>
      </c>
      <c r="L259" s="2">
        <v>64365150.713200003</v>
      </c>
      <c r="M259" s="2" t="s">
        <v>5632</v>
      </c>
      <c r="N259" s="2">
        <v>32.110527682799997</v>
      </c>
      <c r="O259" s="2">
        <v>6.4300000000000003E-6</v>
      </c>
      <c r="P259" s="2">
        <v>5805327</v>
      </c>
      <c r="Q259" s="2">
        <v>546</v>
      </c>
    </row>
    <row r="260" spans="1:17" x14ac:dyDescent="0.25">
      <c r="A260" s="1">
        <v>43350</v>
      </c>
      <c r="B260" s="2">
        <v>24281192.284499999</v>
      </c>
      <c r="C260" s="2">
        <v>16948050.3006</v>
      </c>
      <c r="D260" s="2" t="s">
        <v>5633</v>
      </c>
      <c r="E260" s="2">
        <v>1501025155.23</v>
      </c>
      <c r="F260" s="2">
        <v>180.67</v>
      </c>
      <c r="G260" s="2">
        <v>247866000</v>
      </c>
      <c r="H260" s="2">
        <v>2482642685.3600001</v>
      </c>
      <c r="I260" s="2">
        <v>1836.73341729</v>
      </c>
      <c r="J260" s="2">
        <v>2.9784427500000001</v>
      </c>
      <c r="K260" s="2">
        <v>38223</v>
      </c>
      <c r="L260" s="2">
        <v>57844797.094999999</v>
      </c>
      <c r="M260" s="2" t="s">
        <v>5634</v>
      </c>
      <c r="N260" s="2">
        <v>30.207066448999999</v>
      </c>
      <c r="O260" s="2">
        <v>5.2399999999999998E-6</v>
      </c>
      <c r="P260" s="2">
        <v>6237538</v>
      </c>
      <c r="Q260" s="2">
        <v>549</v>
      </c>
    </row>
    <row r="261" spans="1:17" x14ac:dyDescent="0.25">
      <c r="A261" s="1">
        <v>43349</v>
      </c>
      <c r="B261" s="2">
        <v>47264402.617899999</v>
      </c>
      <c r="C261" s="2">
        <v>18088380.795699999</v>
      </c>
      <c r="D261" s="2" t="s">
        <v>5635</v>
      </c>
      <c r="E261" s="2">
        <v>1452197530.8299999</v>
      </c>
      <c r="F261" s="2">
        <v>174.84</v>
      </c>
      <c r="G261" s="2">
        <v>198834000</v>
      </c>
      <c r="H261" s="2">
        <v>2484469627.2399998</v>
      </c>
      <c r="I261" s="2">
        <v>1826.69662266</v>
      </c>
      <c r="J261" s="2">
        <v>3.1763941999999998</v>
      </c>
      <c r="K261" s="2">
        <v>40194</v>
      </c>
      <c r="L261" s="2">
        <v>61563965.921800002</v>
      </c>
      <c r="M261" s="2" t="s">
        <v>5636</v>
      </c>
      <c r="N261" s="2">
        <v>51.006032986800001</v>
      </c>
      <c r="O261" s="2">
        <v>5.22E-6</v>
      </c>
      <c r="P261" s="2">
        <v>6600717</v>
      </c>
      <c r="Q261" s="2">
        <v>546</v>
      </c>
    </row>
    <row r="262" spans="1:17" x14ac:dyDescent="0.25">
      <c r="A262" s="1">
        <v>43348</v>
      </c>
      <c r="B262" s="2">
        <v>26666577.886500001</v>
      </c>
      <c r="C262" s="2">
        <v>16160603.6075</v>
      </c>
      <c r="D262" s="2" t="s">
        <v>5637</v>
      </c>
      <c r="E262" s="2">
        <v>1799315856.27</v>
      </c>
      <c r="F262" s="2">
        <v>216.68</v>
      </c>
      <c r="G262" s="2">
        <v>186626000</v>
      </c>
      <c r="H262" s="2">
        <v>2490893911.9899998</v>
      </c>
      <c r="I262" s="2">
        <v>1833.3878190800001</v>
      </c>
      <c r="J262" s="2">
        <v>3.80257757</v>
      </c>
      <c r="K262" s="2">
        <v>43120</v>
      </c>
      <c r="L262" s="2">
        <v>59909809.298199996</v>
      </c>
      <c r="M262" s="2" t="s">
        <v>5638</v>
      </c>
      <c r="N262" s="2">
        <v>86.860184413200002</v>
      </c>
      <c r="O262" s="2">
        <v>5.2299999999999999E-6</v>
      </c>
      <c r="P262" s="2">
        <v>7284388</v>
      </c>
      <c r="Q262" s="2">
        <v>548</v>
      </c>
    </row>
    <row r="263" spans="1:17" x14ac:dyDescent="0.25">
      <c r="A263" s="1">
        <v>43347</v>
      </c>
      <c r="B263" s="2">
        <v>22077668.997099999</v>
      </c>
      <c r="C263" s="2">
        <v>10898437.2566</v>
      </c>
      <c r="D263" s="2" t="s">
        <v>5639</v>
      </c>
      <c r="E263" s="2">
        <v>1802169241.8599999</v>
      </c>
      <c r="F263" s="2">
        <v>217.06</v>
      </c>
      <c r="G263" s="2">
        <v>160185000</v>
      </c>
      <c r="H263" s="2">
        <v>2495864469.9400001</v>
      </c>
      <c r="I263" s="2">
        <v>1846.7702119200001</v>
      </c>
      <c r="J263" s="2">
        <v>3.4909997800000001</v>
      </c>
      <c r="K263" s="2">
        <v>42649</v>
      </c>
      <c r="L263" s="2">
        <v>64894541.170199998</v>
      </c>
      <c r="M263" s="2" t="s">
        <v>5640</v>
      </c>
      <c r="N263" s="2">
        <v>61.830739171200001</v>
      </c>
      <c r="O263" s="2">
        <v>5.0000000000000004E-6</v>
      </c>
      <c r="P263" s="2">
        <v>7101843</v>
      </c>
      <c r="Q263" s="2">
        <v>552</v>
      </c>
    </row>
    <row r="264" spans="1:17" x14ac:dyDescent="0.25">
      <c r="A264" s="1">
        <v>43346</v>
      </c>
      <c r="B264" s="2">
        <v>23110139.432100002</v>
      </c>
      <c r="C264" s="2">
        <v>13064281.429199999</v>
      </c>
      <c r="D264" s="2" t="s">
        <v>5641</v>
      </c>
      <c r="E264" s="2">
        <v>1769303663.29</v>
      </c>
      <c r="F264" s="2">
        <v>213.15</v>
      </c>
      <c r="G264" s="2">
        <v>177073000</v>
      </c>
      <c r="H264" s="2">
        <v>2498014418.5999999</v>
      </c>
      <c r="I264" s="2">
        <v>1826.69662266</v>
      </c>
      <c r="J264" s="2">
        <v>3.8027651699999998</v>
      </c>
      <c r="K264" s="2">
        <v>57514</v>
      </c>
      <c r="L264" s="2">
        <v>57370077.919799998</v>
      </c>
      <c r="M264" s="2" t="s">
        <v>5642</v>
      </c>
      <c r="N264" s="2">
        <v>50.2673030475</v>
      </c>
      <c r="O264" s="2">
        <v>4.5199999999999999E-6</v>
      </c>
      <c r="P264" s="2">
        <v>9396657</v>
      </c>
      <c r="Q264" s="2">
        <v>546</v>
      </c>
    </row>
    <row r="265" spans="1:17" x14ac:dyDescent="0.25">
      <c r="A265" s="1">
        <v>43345</v>
      </c>
      <c r="B265" s="2">
        <v>23890336.438299999</v>
      </c>
      <c r="C265" s="2">
        <v>13138528.425899999</v>
      </c>
      <c r="D265" s="2" t="s">
        <v>5643</v>
      </c>
      <c r="E265" s="2">
        <v>1833025874.0799999</v>
      </c>
      <c r="F265" s="2">
        <v>220.88</v>
      </c>
      <c r="G265" s="2">
        <v>246093000</v>
      </c>
      <c r="H265" s="2">
        <v>2497581844.27</v>
      </c>
      <c r="I265" s="2">
        <v>8018.4614083400002</v>
      </c>
      <c r="J265" s="2">
        <v>3.5194499299999999</v>
      </c>
      <c r="K265" s="2">
        <v>46418</v>
      </c>
      <c r="L265" s="2">
        <v>59089541.044299997</v>
      </c>
      <c r="M265" s="2" t="s">
        <v>5644</v>
      </c>
      <c r="N265" s="2">
        <v>28.805738297600001</v>
      </c>
      <c r="O265" s="2">
        <v>3.7400000000000002E-6</v>
      </c>
      <c r="P265" s="2">
        <v>8067330</v>
      </c>
      <c r="Q265" s="2">
        <v>554</v>
      </c>
    </row>
    <row r="266" spans="1:17" x14ac:dyDescent="0.25">
      <c r="A266" s="1">
        <v>43344</v>
      </c>
      <c r="B266" s="2">
        <v>29767440.314100001</v>
      </c>
      <c r="C266" s="2">
        <v>18392889.2773</v>
      </c>
      <c r="D266" s="2" t="s">
        <v>5645</v>
      </c>
      <c r="E266" s="2">
        <v>1613041287.3199999</v>
      </c>
      <c r="F266" s="2">
        <v>194.56</v>
      </c>
      <c r="G266" s="2">
        <v>234140000</v>
      </c>
      <c r="H266" s="2">
        <v>2499109690.79</v>
      </c>
      <c r="I266" s="2">
        <v>1836.73341729</v>
      </c>
      <c r="J266" s="2">
        <v>4.7119003900000003</v>
      </c>
      <c r="K266" s="2">
        <v>46316</v>
      </c>
      <c r="L266" s="2">
        <v>56730884.883699998</v>
      </c>
      <c r="M266" s="2" t="s">
        <v>5646</v>
      </c>
      <c r="N266" s="2">
        <v>41.2474067968</v>
      </c>
      <c r="O266" s="2">
        <v>5.22E-6</v>
      </c>
      <c r="P266" s="2">
        <v>8215732</v>
      </c>
      <c r="Q266" s="2">
        <v>549</v>
      </c>
    </row>
    <row r="267" spans="1:17" x14ac:dyDescent="0.25">
      <c r="A267" s="1">
        <v>43343</v>
      </c>
      <c r="B267" s="2">
        <v>21328719.3704</v>
      </c>
      <c r="C267" s="2">
        <v>15571631.523800001</v>
      </c>
      <c r="D267" s="2" t="s">
        <v>5647</v>
      </c>
      <c r="E267" s="2">
        <v>1521241061.1900001</v>
      </c>
      <c r="F267" s="2">
        <v>183.53</v>
      </c>
      <c r="G267" s="2">
        <v>315329000</v>
      </c>
      <c r="H267" s="2">
        <v>2497121577.8299999</v>
      </c>
      <c r="I267" s="2">
        <v>1823.3510244500001</v>
      </c>
      <c r="J267" s="2">
        <v>3.27771079</v>
      </c>
      <c r="K267" s="2">
        <v>35772</v>
      </c>
      <c r="L267" s="2">
        <v>52694523.286600001</v>
      </c>
      <c r="M267" s="2" t="s">
        <v>5648</v>
      </c>
      <c r="N267" s="2">
        <v>32.117750000000001</v>
      </c>
      <c r="O267" s="2">
        <v>6.7000000000000002E-6</v>
      </c>
      <c r="P267" s="2">
        <v>5985039</v>
      </c>
      <c r="Q267" s="2">
        <v>545</v>
      </c>
    </row>
    <row r="268" spans="1:17" x14ac:dyDescent="0.25">
      <c r="A268" s="1">
        <v>43342</v>
      </c>
      <c r="B268" s="2">
        <v>19644996.568999998</v>
      </c>
      <c r="C268" s="2">
        <v>13139957.978499999</v>
      </c>
      <c r="D268" s="2" t="s">
        <v>5649</v>
      </c>
      <c r="E268" s="2">
        <v>1554917307.9200001</v>
      </c>
      <c r="F268" s="2">
        <v>187.63</v>
      </c>
      <c r="G268" s="2">
        <v>299466000</v>
      </c>
      <c r="H268" s="2">
        <v>2498529635.4299998</v>
      </c>
      <c r="I268" s="2">
        <v>1833.3878190800001</v>
      </c>
      <c r="J268" s="2">
        <v>3.6796907999999999</v>
      </c>
      <c r="K268" s="2">
        <v>36589</v>
      </c>
      <c r="L268" s="2">
        <v>55211977.325400002</v>
      </c>
      <c r="M268" s="2" t="s">
        <v>5650</v>
      </c>
      <c r="N268" s="2">
        <v>66.457553437300007</v>
      </c>
      <c r="O268" s="2">
        <v>5.6300000000000003E-6</v>
      </c>
      <c r="P268" s="2">
        <v>6402800</v>
      </c>
      <c r="Q268" s="2">
        <v>548</v>
      </c>
    </row>
    <row r="269" spans="1:17" x14ac:dyDescent="0.25">
      <c r="A269" s="1">
        <v>43341</v>
      </c>
      <c r="B269" s="2">
        <v>32141176.6153</v>
      </c>
      <c r="C269" s="2">
        <v>21603666.386999998</v>
      </c>
      <c r="D269" s="2" t="s">
        <v>5651</v>
      </c>
      <c r="E269" s="2">
        <v>1607441957.48</v>
      </c>
      <c r="F269" s="2">
        <v>194.01</v>
      </c>
      <c r="G269" s="2">
        <v>177095000</v>
      </c>
      <c r="H269" s="2">
        <v>2500073453.3400002</v>
      </c>
      <c r="I269" s="2">
        <v>1836.73341729</v>
      </c>
      <c r="J269" s="2">
        <v>4.3452349699999999</v>
      </c>
      <c r="K269" s="2">
        <v>44104</v>
      </c>
      <c r="L269" s="2">
        <v>58831005.097499996</v>
      </c>
      <c r="M269" s="2" t="s">
        <v>5652</v>
      </c>
      <c r="N269" s="2">
        <v>89.900819424000005</v>
      </c>
      <c r="O269" s="2">
        <v>5.2299999999999999E-6</v>
      </c>
      <c r="P269" s="2">
        <v>7675331</v>
      </c>
      <c r="Q269" s="2">
        <v>549</v>
      </c>
    </row>
    <row r="270" spans="1:17" x14ac:dyDescent="0.25">
      <c r="A270" s="1">
        <v>43340</v>
      </c>
      <c r="B270" s="2">
        <v>45442889.957999997</v>
      </c>
      <c r="C270" s="2">
        <v>28037375.738299999</v>
      </c>
      <c r="D270" s="2" t="s">
        <v>5653</v>
      </c>
      <c r="E270" s="2">
        <v>1508627843.6099999</v>
      </c>
      <c r="F270" s="2">
        <v>182.13</v>
      </c>
      <c r="G270" s="2">
        <v>305053000</v>
      </c>
      <c r="H270" s="2">
        <v>2502135470.98</v>
      </c>
      <c r="I270" s="2">
        <v>1840.0790155</v>
      </c>
      <c r="J270" s="2">
        <v>4.50934759</v>
      </c>
      <c r="K270" s="2">
        <v>43025</v>
      </c>
      <c r="L270" s="2">
        <v>54164752.125</v>
      </c>
      <c r="M270" s="2" t="s">
        <v>5654</v>
      </c>
      <c r="N270" s="2">
        <v>87.2865874803</v>
      </c>
      <c r="O270" s="2">
        <v>7.7000000000000008E-6</v>
      </c>
      <c r="P270" s="2">
        <v>7458001</v>
      </c>
      <c r="Q270" s="2">
        <v>550</v>
      </c>
    </row>
    <row r="271" spans="1:17" x14ac:dyDescent="0.25">
      <c r="A271" s="1">
        <v>43339</v>
      </c>
      <c r="B271" s="2">
        <v>35120639.142399997</v>
      </c>
      <c r="C271" s="2">
        <v>20006383.797400001</v>
      </c>
      <c r="D271" s="2" t="s">
        <v>5655</v>
      </c>
      <c r="E271" s="2">
        <v>1174844350.0999999</v>
      </c>
      <c r="F271" s="2">
        <v>141.86000000000001</v>
      </c>
      <c r="G271" s="2">
        <v>355782000</v>
      </c>
      <c r="H271" s="2">
        <v>2502925544.23</v>
      </c>
      <c r="I271" s="2">
        <v>1826.69662266</v>
      </c>
      <c r="J271" s="2">
        <v>4.1150768099999997</v>
      </c>
      <c r="K271" s="2">
        <v>38045</v>
      </c>
      <c r="L271" s="2">
        <v>52155605.140900001</v>
      </c>
      <c r="M271" s="2" t="s">
        <v>5656</v>
      </c>
      <c r="N271" s="2">
        <v>110.01429404</v>
      </c>
      <c r="O271" s="2">
        <v>6.3300000000000004E-6</v>
      </c>
      <c r="P271" s="2">
        <v>6767361</v>
      </c>
      <c r="Q271" s="2">
        <v>546</v>
      </c>
    </row>
    <row r="272" spans="1:17" x14ac:dyDescent="0.25">
      <c r="A272" s="1">
        <v>43338</v>
      </c>
      <c r="B272" s="2">
        <v>19760478.921300001</v>
      </c>
      <c r="C272" s="2">
        <v>11041639.2468</v>
      </c>
      <c r="D272" s="2" t="s">
        <v>5657</v>
      </c>
      <c r="E272" s="2">
        <v>1199902496.72</v>
      </c>
      <c r="F272" s="2">
        <v>144.91999999999999</v>
      </c>
      <c r="G272" s="2">
        <v>166603000</v>
      </c>
      <c r="H272" s="2">
        <v>2502282613.98</v>
      </c>
      <c r="I272" s="2">
        <v>1840.0790155</v>
      </c>
      <c r="J272" s="2">
        <v>2.76304689</v>
      </c>
      <c r="K272" s="2">
        <v>35822</v>
      </c>
      <c r="L272" s="2">
        <v>51665871.299900003</v>
      </c>
      <c r="M272" s="2" t="s">
        <v>5658</v>
      </c>
      <c r="N272" s="2">
        <v>52.95137682</v>
      </c>
      <c r="O272" s="2">
        <v>4.5199999999999999E-6</v>
      </c>
      <c r="P272" s="2">
        <v>5485468</v>
      </c>
      <c r="Q272" s="2">
        <v>550</v>
      </c>
    </row>
    <row r="273" spans="1:17" x14ac:dyDescent="0.25">
      <c r="A273" s="1">
        <v>43337</v>
      </c>
      <c r="B273" s="2">
        <v>9663696.9082399998</v>
      </c>
      <c r="C273" s="2">
        <v>6287519.9506200003</v>
      </c>
      <c r="D273" s="2" t="s">
        <v>5659</v>
      </c>
      <c r="E273" s="2">
        <v>1200100327.27</v>
      </c>
      <c r="F273" s="2">
        <v>144.97999999999999</v>
      </c>
      <c r="G273" s="2">
        <v>275311000</v>
      </c>
      <c r="H273" s="2">
        <v>2506146905.8800001</v>
      </c>
      <c r="I273" s="2">
        <v>1830.0422208699999</v>
      </c>
      <c r="J273" s="2">
        <v>2.15462803</v>
      </c>
      <c r="K273" s="2">
        <v>31324</v>
      </c>
      <c r="L273" s="2">
        <v>50940033.131399997</v>
      </c>
      <c r="M273" s="2" t="s">
        <v>5660</v>
      </c>
      <c r="N273" s="2">
        <v>26.741285538</v>
      </c>
      <c r="O273" s="2">
        <v>8.1899999999999995E-6</v>
      </c>
      <c r="P273" s="2">
        <v>5121132</v>
      </c>
      <c r="Q273" s="2">
        <v>547</v>
      </c>
    </row>
    <row r="274" spans="1:17" x14ac:dyDescent="0.25">
      <c r="A274" s="1">
        <v>43336</v>
      </c>
      <c r="B274" s="2">
        <v>16732431.252800001</v>
      </c>
      <c r="C274" s="2">
        <v>10580854.014</v>
      </c>
      <c r="D274" s="2" t="s">
        <v>5661</v>
      </c>
      <c r="E274" s="2">
        <v>1164834770.03</v>
      </c>
      <c r="F274" s="2">
        <v>140.75</v>
      </c>
      <c r="G274" s="2">
        <v>232796000</v>
      </c>
      <c r="H274" s="2">
        <v>2508912621.6900001</v>
      </c>
      <c r="I274" s="2">
        <v>1830.0422208699999</v>
      </c>
      <c r="J274" s="2">
        <v>3.0624006800000001</v>
      </c>
      <c r="K274" s="2">
        <v>32116</v>
      </c>
      <c r="L274" s="2">
        <v>54215482.612199999</v>
      </c>
      <c r="M274" s="2" t="s">
        <v>5662</v>
      </c>
      <c r="N274" s="2">
        <v>27.100338577500001</v>
      </c>
      <c r="O274" s="2">
        <v>6.3300000000000004E-6</v>
      </c>
      <c r="P274" s="2">
        <v>5032913</v>
      </c>
      <c r="Q274" s="2">
        <v>547</v>
      </c>
    </row>
    <row r="275" spans="1:17" x14ac:dyDescent="0.25">
      <c r="A275" s="1">
        <v>43335</v>
      </c>
      <c r="B275" s="2">
        <v>11793914.704399999</v>
      </c>
      <c r="C275" s="2">
        <v>7617751.6154500004</v>
      </c>
      <c r="D275" s="2" t="s">
        <v>5663</v>
      </c>
      <c r="E275" s="2">
        <v>1131215747.7</v>
      </c>
      <c r="F275" s="2">
        <v>136.72</v>
      </c>
      <c r="G275" s="2">
        <v>183027000</v>
      </c>
      <c r="H275" s="2">
        <v>2509919932.3899999</v>
      </c>
      <c r="I275" s="2">
        <v>1830.0422208699999</v>
      </c>
      <c r="J275" s="2">
        <v>3.0214519700000002</v>
      </c>
      <c r="K275" s="2">
        <v>34143</v>
      </c>
      <c r="L275" s="2">
        <v>51559988.2082</v>
      </c>
      <c r="M275" s="2" t="s">
        <v>5664</v>
      </c>
      <c r="N275" s="2">
        <v>34.341198348799999</v>
      </c>
      <c r="O275" s="2">
        <v>5.8699999999999997E-6</v>
      </c>
      <c r="P275" s="2">
        <v>6003937</v>
      </c>
      <c r="Q275" s="2">
        <v>547</v>
      </c>
    </row>
    <row r="276" spans="1:17" x14ac:dyDescent="0.25">
      <c r="A276" s="1">
        <v>43334</v>
      </c>
      <c r="B276" s="2">
        <v>13882598.2029</v>
      </c>
      <c r="C276" s="2">
        <v>10075165.445499999</v>
      </c>
      <c r="D276" s="2" t="s">
        <v>5665</v>
      </c>
      <c r="E276" s="2">
        <v>1172268065.79</v>
      </c>
      <c r="F276" s="2">
        <v>141.71</v>
      </c>
      <c r="G276" s="2">
        <v>195766000</v>
      </c>
      <c r="H276" s="2">
        <v>2511291745.4499998</v>
      </c>
      <c r="I276" s="2">
        <v>1840.0790155</v>
      </c>
      <c r="J276" s="2">
        <v>3.15520478</v>
      </c>
      <c r="K276" s="2">
        <v>38323</v>
      </c>
      <c r="L276" s="2">
        <v>54657042.932499997</v>
      </c>
      <c r="M276" s="2" t="s">
        <v>5666</v>
      </c>
      <c r="N276" s="2">
        <v>47.851914330299998</v>
      </c>
      <c r="O276" s="2">
        <v>4.8799999999999999E-6</v>
      </c>
      <c r="P276" s="2">
        <v>6308968</v>
      </c>
      <c r="Q276" s="2">
        <v>550</v>
      </c>
    </row>
    <row r="277" spans="1:17" x14ac:dyDescent="0.25">
      <c r="A277" s="1">
        <v>43333</v>
      </c>
      <c r="B277" s="2">
        <v>7923630.5281400001</v>
      </c>
      <c r="C277" s="2">
        <v>5307023.3784100004</v>
      </c>
      <c r="D277" s="2" t="s">
        <v>5667</v>
      </c>
      <c r="E277" s="2">
        <v>1178906413.8099999</v>
      </c>
      <c r="F277" s="2">
        <v>142.54</v>
      </c>
      <c r="G277" s="2">
        <v>152785000</v>
      </c>
      <c r="H277" s="2">
        <v>2513451841.3400002</v>
      </c>
      <c r="I277" s="2">
        <v>1813.31422982</v>
      </c>
      <c r="J277" s="2">
        <v>2.7233472399999998</v>
      </c>
      <c r="K277" s="2">
        <v>35053</v>
      </c>
      <c r="L277" s="2">
        <v>54384053.906000003</v>
      </c>
      <c r="M277" s="2" t="s">
        <v>5668</v>
      </c>
      <c r="N277" s="2">
        <v>33.618947024199997</v>
      </c>
      <c r="O277" s="2">
        <v>5.2399999999999998E-6</v>
      </c>
      <c r="P277" s="2">
        <v>5748895</v>
      </c>
      <c r="Q277" s="2">
        <v>542</v>
      </c>
    </row>
    <row r="278" spans="1:17" x14ac:dyDescent="0.25">
      <c r="A278" s="1">
        <v>43332</v>
      </c>
      <c r="B278" s="2">
        <v>14079685.1544</v>
      </c>
      <c r="C278" s="2">
        <v>7554252.5545800002</v>
      </c>
      <c r="D278" s="2" t="s">
        <v>5669</v>
      </c>
      <c r="E278" s="2">
        <v>1284252702.21</v>
      </c>
      <c r="F278" s="2">
        <v>155.31</v>
      </c>
      <c r="G278" s="2">
        <v>120183000</v>
      </c>
      <c r="H278" s="2">
        <v>2514895810.54</v>
      </c>
      <c r="I278" s="2">
        <v>1866.8438011799999</v>
      </c>
      <c r="J278" s="2">
        <v>3.12972436</v>
      </c>
      <c r="K278" s="2">
        <v>30121</v>
      </c>
      <c r="L278" s="2">
        <v>53044037.056699999</v>
      </c>
      <c r="M278" s="2" t="s">
        <v>5670</v>
      </c>
      <c r="N278" s="2">
        <v>34.168541681999997</v>
      </c>
      <c r="O278" s="2">
        <v>5.2399999999999998E-6</v>
      </c>
      <c r="P278" s="2">
        <v>4955814</v>
      </c>
      <c r="Q278" s="2">
        <v>558</v>
      </c>
    </row>
    <row r="279" spans="1:17" x14ac:dyDescent="0.25">
      <c r="A279" s="1">
        <v>43331</v>
      </c>
      <c r="B279" s="2">
        <v>10914880.0779</v>
      </c>
      <c r="C279" s="2">
        <v>7521668.0469399998</v>
      </c>
      <c r="D279" s="2" t="s">
        <v>5671</v>
      </c>
      <c r="E279" s="2">
        <v>1258399820.8699999</v>
      </c>
      <c r="F279" s="2">
        <v>152.22</v>
      </c>
      <c r="G279" s="2">
        <v>234411000</v>
      </c>
      <c r="H279" s="2">
        <v>2517629545.48</v>
      </c>
      <c r="I279" s="2">
        <v>1830.0422208699999</v>
      </c>
      <c r="J279" s="2">
        <v>2.9317460400000002</v>
      </c>
      <c r="K279" s="2">
        <v>29275</v>
      </c>
      <c r="L279" s="2">
        <v>56615604.966600001</v>
      </c>
      <c r="M279" s="2" t="s">
        <v>5672</v>
      </c>
      <c r="N279" s="2">
        <v>32.432586858000001</v>
      </c>
      <c r="O279" s="2">
        <v>5.2299999999999999E-6</v>
      </c>
      <c r="P279" s="2">
        <v>4685056</v>
      </c>
      <c r="Q279" s="2">
        <v>547</v>
      </c>
    </row>
    <row r="280" spans="1:17" x14ac:dyDescent="0.25">
      <c r="A280" s="1">
        <v>43330</v>
      </c>
      <c r="B280" s="2">
        <v>13327095.7322</v>
      </c>
      <c r="C280" s="2">
        <v>10237465.0448</v>
      </c>
      <c r="D280" s="2" t="s">
        <v>5673</v>
      </c>
      <c r="E280" s="2">
        <v>1375303716.3900001</v>
      </c>
      <c r="F280" s="2">
        <v>166.4</v>
      </c>
      <c r="G280" s="2">
        <v>166439000</v>
      </c>
      <c r="H280" s="2">
        <v>2518306004.1199999</v>
      </c>
      <c r="I280" s="2">
        <v>1846.7702119200001</v>
      </c>
      <c r="J280" s="2">
        <v>2.7505319799999999</v>
      </c>
      <c r="K280" s="2">
        <v>31778</v>
      </c>
      <c r="L280" s="2">
        <v>54223261.965700001</v>
      </c>
      <c r="M280" s="2" t="s">
        <v>5674</v>
      </c>
      <c r="N280" s="2">
        <v>34.640584576000002</v>
      </c>
      <c r="O280" s="2">
        <v>5.2299999999999999E-6</v>
      </c>
      <c r="P280" s="2">
        <v>5040034</v>
      </c>
      <c r="Q280" s="2">
        <v>552</v>
      </c>
    </row>
    <row r="281" spans="1:17" x14ac:dyDescent="0.25">
      <c r="A281" s="1">
        <v>43329</v>
      </c>
      <c r="B281" s="2">
        <v>11994400.815400001</v>
      </c>
      <c r="C281" s="2">
        <v>7742379.5104200002</v>
      </c>
      <c r="D281" s="2" t="s">
        <v>5675</v>
      </c>
      <c r="E281" s="2">
        <v>1254294083.9200001</v>
      </c>
      <c r="F281" s="2">
        <v>151.79</v>
      </c>
      <c r="G281" s="2">
        <v>207021000</v>
      </c>
      <c r="H281" s="2">
        <v>2519964877.0300002</v>
      </c>
      <c r="I281" s="2">
        <v>1820.0054262399999</v>
      </c>
      <c r="J281" s="2">
        <v>3.2483336199999999</v>
      </c>
      <c r="K281" s="2">
        <v>37800</v>
      </c>
      <c r="L281" s="2">
        <v>54428440.128200002</v>
      </c>
      <c r="M281" s="2" t="s">
        <v>5676</v>
      </c>
      <c r="N281" s="2">
        <v>42.985111073699997</v>
      </c>
      <c r="O281" s="2">
        <v>5.2100000000000001E-6</v>
      </c>
      <c r="P281" s="2">
        <v>6213726</v>
      </c>
      <c r="Q281" s="2">
        <v>544</v>
      </c>
    </row>
    <row r="282" spans="1:17" x14ac:dyDescent="0.25">
      <c r="A282" s="1">
        <v>43328</v>
      </c>
      <c r="B282" s="2">
        <v>37097046.4388</v>
      </c>
      <c r="C282" s="2">
        <v>22045738.430500001</v>
      </c>
      <c r="D282" s="2" t="s">
        <v>5677</v>
      </c>
      <c r="E282" s="2">
        <v>1266874637.6500001</v>
      </c>
      <c r="F282" s="2">
        <v>153.35</v>
      </c>
      <c r="G282" s="2">
        <v>104578000</v>
      </c>
      <c r="H282" s="2">
        <v>2520558817.1300001</v>
      </c>
      <c r="I282" s="2">
        <v>1853.4614083399999</v>
      </c>
      <c r="J282" s="2">
        <v>3.01732165</v>
      </c>
      <c r="K282" s="2">
        <v>41490</v>
      </c>
      <c r="L282" s="2">
        <v>55057277.8495</v>
      </c>
      <c r="M282" s="2" t="s">
        <v>5678</v>
      </c>
      <c r="N282" s="2">
        <v>31.629285525499998</v>
      </c>
      <c r="O282" s="2">
        <v>4.5199999999999999E-6</v>
      </c>
      <c r="P282" s="2">
        <v>7089437</v>
      </c>
      <c r="Q282" s="2">
        <v>554</v>
      </c>
    </row>
    <row r="283" spans="1:17" x14ac:dyDescent="0.25">
      <c r="A283" s="1">
        <v>43327</v>
      </c>
      <c r="B283" s="2">
        <v>20376854.8081</v>
      </c>
      <c r="C283" s="2">
        <v>14522561.0601</v>
      </c>
      <c r="D283" s="2" t="s">
        <v>5679</v>
      </c>
      <c r="E283" s="2">
        <v>1150575483.25</v>
      </c>
      <c r="F283" s="2">
        <v>139.30000000000001</v>
      </c>
      <c r="G283" s="2">
        <v>126689000</v>
      </c>
      <c r="H283" s="2">
        <v>2527978045.7600002</v>
      </c>
      <c r="I283" s="2">
        <v>1826.69662266</v>
      </c>
      <c r="J283" s="2">
        <v>4.2702284300000004</v>
      </c>
      <c r="K283" s="2">
        <v>36917</v>
      </c>
      <c r="L283" s="2">
        <v>56184722.604599997</v>
      </c>
      <c r="M283" s="2" t="s">
        <v>5680</v>
      </c>
      <c r="N283" s="2">
        <v>60.862269251000001</v>
      </c>
      <c r="O283" s="2">
        <v>5.6899999999999997E-6</v>
      </c>
      <c r="P283" s="2">
        <v>6166701</v>
      </c>
      <c r="Q283" s="2">
        <v>546</v>
      </c>
    </row>
    <row r="284" spans="1:17" x14ac:dyDescent="0.25">
      <c r="A284" s="1">
        <v>43326</v>
      </c>
      <c r="B284" s="2">
        <v>23881026.302499998</v>
      </c>
      <c r="C284" s="2">
        <v>14487098.2577</v>
      </c>
      <c r="D284" s="2" t="s">
        <v>5681</v>
      </c>
      <c r="E284" s="2">
        <v>1198154246.1099999</v>
      </c>
      <c r="F284" s="2">
        <v>145.09</v>
      </c>
      <c r="G284" s="2">
        <v>123578000</v>
      </c>
      <c r="H284" s="2">
        <v>2530167628.4200001</v>
      </c>
      <c r="I284" s="2">
        <v>1823.3510244500001</v>
      </c>
      <c r="J284" s="2">
        <v>4.4652144399999996</v>
      </c>
      <c r="K284" s="2">
        <v>38126</v>
      </c>
      <c r="L284" s="2">
        <v>60648956.321400002</v>
      </c>
      <c r="M284" s="2" t="s">
        <v>5682</v>
      </c>
      <c r="N284" s="2">
        <v>54.503312407499998</v>
      </c>
      <c r="O284" s="2">
        <v>5.22E-6</v>
      </c>
      <c r="P284" s="2">
        <v>6293750</v>
      </c>
      <c r="Q284" s="2">
        <v>545</v>
      </c>
    </row>
    <row r="285" spans="1:17" x14ac:dyDescent="0.25">
      <c r="A285" s="1">
        <v>43325</v>
      </c>
      <c r="B285" s="2">
        <v>24331895.674199998</v>
      </c>
      <c r="C285" s="2">
        <v>14702271.693700001</v>
      </c>
      <c r="D285" s="2" t="s">
        <v>5683</v>
      </c>
      <c r="E285" s="2">
        <v>1388018242.04</v>
      </c>
      <c r="F285" s="2">
        <v>168.12</v>
      </c>
      <c r="G285" s="2">
        <v>129702000</v>
      </c>
      <c r="H285" s="2">
        <v>2538381043.52</v>
      </c>
      <c r="I285" s="2">
        <v>1840.0790155</v>
      </c>
      <c r="J285" s="2">
        <v>4.4184087400000003</v>
      </c>
      <c r="K285" s="2">
        <v>35186</v>
      </c>
      <c r="L285" s="2">
        <v>54736901.1664</v>
      </c>
      <c r="M285" s="2" t="s">
        <v>5684</v>
      </c>
      <c r="N285" s="2">
        <v>85.742057411999994</v>
      </c>
      <c r="O285" s="2">
        <v>5.66E-6</v>
      </c>
      <c r="P285" s="2">
        <v>6140352</v>
      </c>
      <c r="Q285" s="2">
        <v>550</v>
      </c>
    </row>
    <row r="286" spans="1:17" x14ac:dyDescent="0.25">
      <c r="A286" s="1">
        <v>43324</v>
      </c>
      <c r="B286" s="2">
        <v>15015181.903100001</v>
      </c>
      <c r="C286" s="2">
        <v>10112936.5877</v>
      </c>
      <c r="D286" s="2" t="s">
        <v>5685</v>
      </c>
      <c r="E286" s="2">
        <v>1367078310.1800001</v>
      </c>
      <c r="F286" s="2">
        <v>165.62</v>
      </c>
      <c r="G286" s="2">
        <v>107311000</v>
      </c>
      <c r="H286" s="2">
        <v>2546292216.9099998</v>
      </c>
      <c r="I286" s="2">
        <v>1816.65982803</v>
      </c>
      <c r="J286" s="2">
        <v>2.73317649</v>
      </c>
      <c r="K286" s="2">
        <v>34612</v>
      </c>
      <c r="L286" s="2">
        <v>57079652.491499998</v>
      </c>
      <c r="M286" s="2" t="s">
        <v>5686</v>
      </c>
      <c r="N286" s="2">
        <v>33.650711348800002</v>
      </c>
      <c r="O286" s="2">
        <v>5.2399999999999998E-6</v>
      </c>
      <c r="P286" s="2">
        <v>11877854</v>
      </c>
      <c r="Q286" s="2">
        <v>543</v>
      </c>
    </row>
    <row r="287" spans="1:17" x14ac:dyDescent="0.25">
      <c r="A287" s="1">
        <v>43323</v>
      </c>
      <c r="B287" s="2">
        <v>10871055.486099999</v>
      </c>
      <c r="C287" s="2">
        <v>6474537.37316</v>
      </c>
      <c r="D287" s="2" t="s">
        <v>5687</v>
      </c>
      <c r="E287" s="2">
        <v>1396185379.46</v>
      </c>
      <c r="F287" s="2">
        <v>169.19</v>
      </c>
      <c r="G287" s="2">
        <v>113630000</v>
      </c>
      <c r="H287" s="2">
        <v>2547865791.48</v>
      </c>
      <c r="I287" s="2">
        <v>1836.73341729</v>
      </c>
      <c r="J287" s="2">
        <v>3.7406341900000002</v>
      </c>
      <c r="K287" s="2">
        <v>54400</v>
      </c>
      <c r="L287" s="2">
        <v>59116505.709100001</v>
      </c>
      <c r="M287" s="2" t="s">
        <v>5688</v>
      </c>
      <c r="N287" s="2">
        <v>26.508821168200001</v>
      </c>
      <c r="O287" s="2">
        <v>5.2599999999999996E-6</v>
      </c>
      <c r="P287" s="2">
        <v>21093573</v>
      </c>
      <c r="Q287" s="2">
        <v>549</v>
      </c>
    </row>
    <row r="288" spans="1:17" x14ac:dyDescent="0.25">
      <c r="A288" s="1">
        <v>43322</v>
      </c>
      <c r="B288" s="2">
        <v>18512765.873</v>
      </c>
      <c r="C288" s="2">
        <v>11276054.441500001</v>
      </c>
      <c r="D288" s="2" t="s">
        <v>5689</v>
      </c>
      <c r="E288" s="2">
        <v>1516204391.73</v>
      </c>
      <c r="F288" s="2">
        <v>183.77</v>
      </c>
      <c r="G288" s="2">
        <v>110106000</v>
      </c>
      <c r="H288" s="2">
        <v>2550071793.2600002</v>
      </c>
      <c r="I288" s="2">
        <v>1840.0790155</v>
      </c>
      <c r="J288" s="2">
        <v>3.6748084400000001</v>
      </c>
      <c r="K288" s="2">
        <v>51580</v>
      </c>
      <c r="L288" s="2">
        <v>52914209.526199996</v>
      </c>
      <c r="M288" s="2" t="s">
        <v>5690</v>
      </c>
      <c r="N288" s="2">
        <v>35.464186364900002</v>
      </c>
      <c r="O288" s="2">
        <v>5.2499999999999997E-6</v>
      </c>
      <c r="P288" s="2">
        <v>16971867</v>
      </c>
      <c r="Q288" s="2">
        <v>550</v>
      </c>
    </row>
    <row r="289" spans="1:17" x14ac:dyDescent="0.25">
      <c r="A289" s="1">
        <v>43321</v>
      </c>
      <c r="B289" s="2">
        <v>25415549.971500002</v>
      </c>
      <c r="C289" s="2">
        <v>12384494.5813</v>
      </c>
      <c r="D289" s="2" t="s">
        <v>5691</v>
      </c>
      <c r="E289" s="2">
        <v>1430953909.3499999</v>
      </c>
      <c r="F289" s="2">
        <v>173.48</v>
      </c>
      <c r="G289" s="2">
        <v>122426000</v>
      </c>
      <c r="H289" s="2">
        <v>2551765947.3800001</v>
      </c>
      <c r="I289" s="2">
        <v>1823.3510244500001</v>
      </c>
      <c r="J289" s="2">
        <v>3.74923786</v>
      </c>
      <c r="K289" s="2">
        <v>42713</v>
      </c>
      <c r="L289" s="2">
        <v>59084604.926200002</v>
      </c>
      <c r="M289" s="2" t="s">
        <v>5692</v>
      </c>
      <c r="N289" s="2">
        <v>34.69634696</v>
      </c>
      <c r="O289" s="2">
        <v>4.8799999999999999E-6</v>
      </c>
      <c r="P289" s="2">
        <v>7938560</v>
      </c>
      <c r="Q289" s="2">
        <v>545</v>
      </c>
    </row>
    <row r="290" spans="1:17" x14ac:dyDescent="0.25">
      <c r="A290" s="1">
        <v>43320</v>
      </c>
      <c r="B290" s="2">
        <v>27427718.965</v>
      </c>
      <c r="C290" s="2">
        <v>16831898.856800001</v>
      </c>
      <c r="D290" s="2" t="s">
        <v>5693</v>
      </c>
      <c r="E290" s="2">
        <v>1545589432.4400001</v>
      </c>
      <c r="F290" s="2">
        <v>187.42</v>
      </c>
      <c r="G290" s="2">
        <v>174335000</v>
      </c>
      <c r="H290" s="2">
        <v>2553431065.0799999</v>
      </c>
      <c r="I290" s="2">
        <v>1846.7702119200001</v>
      </c>
      <c r="J290" s="2">
        <v>4.6094337899999998</v>
      </c>
      <c r="K290" s="2">
        <v>54290</v>
      </c>
      <c r="L290" s="2">
        <v>58750928.353299998</v>
      </c>
      <c r="M290" s="2" t="s">
        <v>5694</v>
      </c>
      <c r="N290" s="2">
        <v>112.45312452</v>
      </c>
      <c r="O290" s="2">
        <v>3.7699999999999999E-6</v>
      </c>
      <c r="P290" s="2">
        <v>9218517</v>
      </c>
      <c r="Q290" s="2">
        <v>552</v>
      </c>
    </row>
    <row r="291" spans="1:17" x14ac:dyDescent="0.25">
      <c r="A291" s="1">
        <v>43319</v>
      </c>
      <c r="B291" s="2">
        <v>31547430.877999999</v>
      </c>
      <c r="C291" s="2">
        <v>14731291.4449</v>
      </c>
      <c r="D291" s="2" t="s">
        <v>5695</v>
      </c>
      <c r="E291" s="2">
        <v>1644842951.3299999</v>
      </c>
      <c r="F291" s="2">
        <v>199.5</v>
      </c>
      <c r="G291" s="2">
        <v>170902000</v>
      </c>
      <c r="H291" s="2">
        <v>2557051148.71</v>
      </c>
      <c r="I291" s="2">
        <v>1826.69662266</v>
      </c>
      <c r="J291" s="2">
        <v>3.1829489199999998</v>
      </c>
      <c r="K291" s="2">
        <v>49441</v>
      </c>
      <c r="L291" s="2">
        <v>55626656.745800003</v>
      </c>
      <c r="M291" s="2" t="s">
        <v>5696</v>
      </c>
      <c r="N291" s="2">
        <v>65.277233910000007</v>
      </c>
      <c r="O291" s="2">
        <v>3.7699999999999999E-6</v>
      </c>
      <c r="P291" s="2">
        <v>8430733</v>
      </c>
      <c r="Q291" s="2">
        <v>546</v>
      </c>
    </row>
    <row r="292" spans="1:17" x14ac:dyDescent="0.25">
      <c r="A292" s="1">
        <v>43318</v>
      </c>
      <c r="B292" s="2">
        <v>14978516.973200001</v>
      </c>
      <c r="C292" s="2">
        <v>11080808.477499999</v>
      </c>
      <c r="D292" s="2" t="s">
        <v>5697</v>
      </c>
      <c r="E292" s="2">
        <v>1707667025.22</v>
      </c>
      <c r="F292" s="2">
        <v>207.16</v>
      </c>
      <c r="G292" s="2">
        <v>224131000</v>
      </c>
      <c r="H292" s="2">
        <v>2560686721.75</v>
      </c>
      <c r="I292" s="2">
        <v>1846.7702119200001</v>
      </c>
      <c r="J292" s="2">
        <v>3.10578456</v>
      </c>
      <c r="K292" s="2">
        <v>45389</v>
      </c>
      <c r="L292" s="2">
        <v>59310489.787500001</v>
      </c>
      <c r="M292" s="2" t="s">
        <v>5698</v>
      </c>
      <c r="N292" s="2">
        <v>49.6543958464</v>
      </c>
      <c r="O292" s="2">
        <v>4.3000000000000003E-6</v>
      </c>
      <c r="P292" s="2">
        <v>7241883</v>
      </c>
      <c r="Q292" s="2">
        <v>552</v>
      </c>
    </row>
    <row r="293" spans="1:17" x14ac:dyDescent="0.25">
      <c r="A293" s="1">
        <v>43317</v>
      </c>
      <c r="B293" s="2">
        <v>9614861.7406200003</v>
      </c>
      <c r="C293" s="2">
        <v>6524959.3757499997</v>
      </c>
      <c r="D293" s="2" t="s">
        <v>5699</v>
      </c>
      <c r="E293" s="2">
        <v>1667372412</v>
      </c>
      <c r="F293" s="2">
        <v>202.32</v>
      </c>
      <c r="G293" s="2">
        <v>170719000</v>
      </c>
      <c r="H293" s="2">
        <v>2561552102.4499998</v>
      </c>
      <c r="I293" s="2">
        <v>1816.65982803</v>
      </c>
      <c r="J293" s="2">
        <v>2.74544626</v>
      </c>
      <c r="K293" s="2">
        <v>41009</v>
      </c>
      <c r="L293" s="2">
        <v>62390787.710500002</v>
      </c>
      <c r="M293" s="2" t="s">
        <v>5700</v>
      </c>
      <c r="N293" s="2">
        <v>35.426555712000003</v>
      </c>
      <c r="O293" s="2">
        <v>3.98E-6</v>
      </c>
      <c r="P293" s="2">
        <v>6344410</v>
      </c>
      <c r="Q293" s="2">
        <v>543</v>
      </c>
    </row>
    <row r="294" spans="1:17" x14ac:dyDescent="0.25">
      <c r="A294" s="1">
        <v>43316</v>
      </c>
      <c r="B294" s="2">
        <v>16190453.2008</v>
      </c>
      <c r="C294" s="2">
        <v>11042442.517000001</v>
      </c>
      <c r="D294" s="2" t="s">
        <v>5701</v>
      </c>
      <c r="E294" s="2">
        <v>1734056644.3299999</v>
      </c>
      <c r="F294" s="2">
        <v>210.46</v>
      </c>
      <c r="G294" s="2">
        <v>167293000</v>
      </c>
      <c r="H294" s="2">
        <v>2561779122.3400002</v>
      </c>
      <c r="I294" s="2">
        <v>1840.0790155</v>
      </c>
      <c r="J294" s="2">
        <v>2.9674328800000001</v>
      </c>
      <c r="K294" s="2">
        <v>38447</v>
      </c>
      <c r="L294" s="2">
        <v>58207764.054499999</v>
      </c>
      <c r="M294" s="2" t="s">
        <v>5702</v>
      </c>
      <c r="N294" s="2">
        <v>31.56931569</v>
      </c>
      <c r="O294" s="2">
        <v>5.2000000000000002E-6</v>
      </c>
      <c r="P294" s="2">
        <v>6447827</v>
      </c>
      <c r="Q294" s="2">
        <v>550</v>
      </c>
    </row>
    <row r="295" spans="1:17" x14ac:dyDescent="0.25">
      <c r="A295" s="1">
        <v>43315</v>
      </c>
      <c r="B295" s="2">
        <v>69183515.134499997</v>
      </c>
      <c r="C295" s="2">
        <v>16511582.2544</v>
      </c>
      <c r="D295" s="2" t="s">
        <v>5703</v>
      </c>
      <c r="E295" s="2">
        <v>1738407009.75</v>
      </c>
      <c r="F295" s="2">
        <v>211.03</v>
      </c>
      <c r="G295" s="2">
        <v>160182000</v>
      </c>
      <c r="H295" s="2">
        <v>2563000491.6500001</v>
      </c>
      <c r="I295" s="2">
        <v>1843.4246137099999</v>
      </c>
      <c r="J295" s="2">
        <v>3.1165636999999999</v>
      </c>
      <c r="K295" s="2">
        <v>35561</v>
      </c>
      <c r="L295" s="2">
        <v>61095532.3266</v>
      </c>
      <c r="M295" s="2" t="s">
        <v>5704</v>
      </c>
      <c r="N295" s="2">
        <v>44.316743162999998</v>
      </c>
      <c r="O295" s="2">
        <v>5.22E-6</v>
      </c>
      <c r="P295" s="2">
        <v>6624936</v>
      </c>
      <c r="Q295" s="2">
        <v>551</v>
      </c>
    </row>
    <row r="296" spans="1:17" x14ac:dyDescent="0.25">
      <c r="A296" s="1">
        <v>43314</v>
      </c>
      <c r="B296" s="2">
        <v>15228289.045600001</v>
      </c>
      <c r="C296" s="2">
        <v>9946604.3470300008</v>
      </c>
      <c r="D296" s="2" t="s">
        <v>5705</v>
      </c>
      <c r="E296" s="2">
        <v>1806691768.4000001</v>
      </c>
      <c r="F296" s="2">
        <v>219.37</v>
      </c>
      <c r="G296" s="2">
        <v>110739000</v>
      </c>
      <c r="H296" s="2">
        <v>2564103454.3800001</v>
      </c>
      <c r="I296" s="2">
        <v>7977.2074351900001</v>
      </c>
      <c r="J296" s="2">
        <v>3.4416285499999999</v>
      </c>
      <c r="K296" s="2">
        <v>39848</v>
      </c>
      <c r="L296" s="2">
        <v>58706918.132700004</v>
      </c>
      <c r="M296" s="2" t="s">
        <v>5706</v>
      </c>
      <c r="N296" s="2">
        <v>43.872817595699999</v>
      </c>
      <c r="O296" s="2">
        <v>5.2000000000000002E-6</v>
      </c>
      <c r="P296" s="2">
        <v>7187617</v>
      </c>
      <c r="Q296" s="2">
        <v>539</v>
      </c>
    </row>
    <row r="297" spans="1:17" x14ac:dyDescent="0.25">
      <c r="A297" s="1">
        <v>43313</v>
      </c>
      <c r="B297" s="2">
        <v>40766907.216899998</v>
      </c>
      <c r="C297" s="2">
        <v>18089536.370200001</v>
      </c>
      <c r="D297" s="2" t="s">
        <v>5707</v>
      </c>
      <c r="E297" s="2">
        <v>1796305849.05</v>
      </c>
      <c r="F297" s="2">
        <v>218.32</v>
      </c>
      <c r="G297" s="2">
        <v>94695000</v>
      </c>
      <c r="H297" s="2">
        <v>2563394454.8200002</v>
      </c>
      <c r="I297" s="2">
        <v>1846.7702119200001</v>
      </c>
      <c r="J297" s="2">
        <v>4.1036457300000002</v>
      </c>
      <c r="K297" s="2">
        <v>45898</v>
      </c>
      <c r="L297" s="2">
        <v>66190822.750100002</v>
      </c>
      <c r="M297" s="2" t="s">
        <v>5708</v>
      </c>
      <c r="N297" s="2">
        <v>65.802905523199996</v>
      </c>
      <c r="O297" s="2">
        <v>5.22E-6</v>
      </c>
      <c r="P297" s="2">
        <v>9539465</v>
      </c>
      <c r="Q297" s="2">
        <v>552</v>
      </c>
    </row>
    <row r="298" spans="1:17" x14ac:dyDescent="0.25">
      <c r="A298" s="1">
        <v>43312</v>
      </c>
      <c r="B298" s="2">
        <v>31755438.993700001</v>
      </c>
      <c r="C298" s="2">
        <v>17216896.179699998</v>
      </c>
      <c r="D298" s="2" t="s">
        <v>5709</v>
      </c>
      <c r="E298" s="2">
        <v>1939209437.77</v>
      </c>
      <c r="F298" s="2">
        <v>235.74</v>
      </c>
      <c r="G298" s="2">
        <v>100782000</v>
      </c>
      <c r="H298" s="2">
        <v>2565475432.21</v>
      </c>
      <c r="I298" s="2">
        <v>1833.3878190800001</v>
      </c>
      <c r="J298" s="2">
        <v>2.8120340100000001</v>
      </c>
      <c r="K298" s="2">
        <v>54111</v>
      </c>
      <c r="L298" s="2">
        <v>60913328.280299999</v>
      </c>
      <c r="M298" s="2" t="s">
        <v>5710</v>
      </c>
      <c r="N298" s="2">
        <v>14.556907281599999</v>
      </c>
      <c r="O298" s="2">
        <v>2.26E-6</v>
      </c>
      <c r="P298" s="2">
        <v>9004735</v>
      </c>
      <c r="Q298" s="2">
        <v>548</v>
      </c>
    </row>
    <row r="299" spans="1:17" x14ac:dyDescent="0.25">
      <c r="A299" s="1">
        <v>43311</v>
      </c>
      <c r="B299" s="2">
        <v>74668982.215100005</v>
      </c>
      <c r="C299" s="2">
        <v>29665139.065200001</v>
      </c>
      <c r="D299" s="2" t="s">
        <v>5711</v>
      </c>
      <c r="E299" s="2">
        <v>1975505239.6199999</v>
      </c>
      <c r="F299" s="2">
        <v>240.21</v>
      </c>
      <c r="G299" s="2">
        <v>371534000</v>
      </c>
      <c r="H299" s="2">
        <v>2565901195.0599999</v>
      </c>
      <c r="I299" s="2">
        <v>1843.4246137099999</v>
      </c>
      <c r="J299" s="2">
        <v>1.7137136399999999</v>
      </c>
      <c r="K299" s="2">
        <v>53618</v>
      </c>
      <c r="L299" s="2">
        <v>58607658.523400001</v>
      </c>
      <c r="M299" s="2" t="s">
        <v>5712</v>
      </c>
      <c r="N299" s="2">
        <v>16.718464667700001</v>
      </c>
      <c r="O299" s="2">
        <v>2.26E-6</v>
      </c>
      <c r="P299" s="2">
        <v>9097596</v>
      </c>
      <c r="Q299" s="2">
        <v>551</v>
      </c>
    </row>
    <row r="300" spans="1:17" x14ac:dyDescent="0.25">
      <c r="A300" s="1">
        <v>43310</v>
      </c>
      <c r="B300" s="2">
        <v>18013840.197700001</v>
      </c>
      <c r="C300" s="2">
        <v>12156743.7118</v>
      </c>
      <c r="D300" s="2" t="s">
        <v>5713</v>
      </c>
      <c r="E300" s="2">
        <v>1983919348.5699999</v>
      </c>
      <c r="F300" s="2">
        <v>241.28</v>
      </c>
      <c r="G300" s="2">
        <v>64928800</v>
      </c>
      <c r="H300" s="2">
        <v>2568708178.8299999</v>
      </c>
      <c r="I300" s="2">
        <v>1833.3878190800001</v>
      </c>
      <c r="J300" s="2">
        <v>2.08974657</v>
      </c>
      <c r="K300" s="2">
        <v>92466</v>
      </c>
      <c r="L300" s="2">
        <v>62070622.347000003</v>
      </c>
      <c r="M300" s="2" t="s">
        <v>5714</v>
      </c>
      <c r="N300" s="2">
        <v>12.064120640000001</v>
      </c>
      <c r="O300" s="2">
        <v>2.26E-6</v>
      </c>
      <c r="P300" s="2">
        <v>13904505</v>
      </c>
      <c r="Q300" s="2">
        <v>548</v>
      </c>
    </row>
    <row r="301" spans="1:17" x14ac:dyDescent="0.25">
      <c r="A301" s="1">
        <v>43309</v>
      </c>
      <c r="B301" s="2">
        <v>23210762.250799999</v>
      </c>
      <c r="C301" s="2">
        <v>13825817.020300001</v>
      </c>
      <c r="D301" s="2" t="s">
        <v>5715</v>
      </c>
      <c r="E301" s="2">
        <v>2006312006.28</v>
      </c>
      <c r="F301" s="2">
        <v>244.06</v>
      </c>
      <c r="G301" s="2">
        <v>94602704</v>
      </c>
      <c r="H301" s="2">
        <v>2568371943.7600002</v>
      </c>
      <c r="I301" s="2">
        <v>1816.65982803</v>
      </c>
      <c r="J301" s="2">
        <v>1.6269922400000001</v>
      </c>
      <c r="K301" s="2">
        <v>43559</v>
      </c>
      <c r="L301" s="2">
        <v>56357122.866700001</v>
      </c>
      <c r="M301" s="2" t="s">
        <v>5716</v>
      </c>
      <c r="N301" s="2">
        <v>5.5504393666</v>
      </c>
      <c r="O301" s="2">
        <v>2.7599999999999998E-6</v>
      </c>
      <c r="P301" s="2">
        <v>6472028</v>
      </c>
      <c r="Q301" s="2">
        <v>543</v>
      </c>
    </row>
    <row r="302" spans="1:17" x14ac:dyDescent="0.25">
      <c r="A302" s="1">
        <v>43308</v>
      </c>
      <c r="B302" s="2">
        <v>22090539.335700002</v>
      </c>
      <c r="C302" s="2">
        <v>16549825.030999999</v>
      </c>
      <c r="D302" s="2" t="s">
        <v>5717</v>
      </c>
      <c r="E302" s="2">
        <v>1988902759.5599999</v>
      </c>
      <c r="F302" s="2">
        <v>242</v>
      </c>
      <c r="G302" s="2">
        <v>111515000</v>
      </c>
      <c r="H302" s="2">
        <v>2568734071.9699998</v>
      </c>
      <c r="I302" s="2">
        <v>1846.7702119200001</v>
      </c>
      <c r="J302" s="2">
        <v>1.9612700700000001</v>
      </c>
      <c r="K302" s="2">
        <v>43887</v>
      </c>
      <c r="L302" s="2">
        <v>57287621.895300001</v>
      </c>
      <c r="M302" s="2" t="s">
        <v>5718</v>
      </c>
      <c r="N302" s="2">
        <v>7.6796497800000001</v>
      </c>
      <c r="O302" s="2">
        <v>2.26E-6</v>
      </c>
      <c r="P302" s="2">
        <v>6733328</v>
      </c>
      <c r="Q302" s="2">
        <v>552</v>
      </c>
    </row>
    <row r="303" spans="1:17" x14ac:dyDescent="0.25">
      <c r="A303" s="1">
        <v>43307</v>
      </c>
      <c r="B303" s="2">
        <v>79092597.068800002</v>
      </c>
      <c r="C303" s="2">
        <v>22227939.947099999</v>
      </c>
      <c r="D303" s="2" t="s">
        <v>5719</v>
      </c>
      <c r="E303" s="2">
        <v>2007783327.7</v>
      </c>
      <c r="F303" s="2">
        <v>244.35</v>
      </c>
      <c r="G303" s="2">
        <v>130621000</v>
      </c>
      <c r="H303" s="2">
        <v>2567694102.3000002</v>
      </c>
      <c r="I303" s="2">
        <v>1843.4246137099999</v>
      </c>
      <c r="J303" s="2">
        <v>1.7885259600000001</v>
      </c>
      <c r="K303" s="2">
        <v>45666</v>
      </c>
      <c r="L303" s="2">
        <v>56750523.827500001</v>
      </c>
      <c r="M303" s="2" t="s">
        <v>5720</v>
      </c>
      <c r="N303" s="2">
        <v>7.0032884715000003</v>
      </c>
      <c r="O303" s="2">
        <v>2.26E-6</v>
      </c>
      <c r="P303" s="2">
        <v>7542387</v>
      </c>
      <c r="Q303" s="2">
        <v>551</v>
      </c>
    </row>
    <row r="304" spans="1:17" x14ac:dyDescent="0.25">
      <c r="A304" s="1">
        <v>43306</v>
      </c>
      <c r="B304" s="2">
        <v>23582302.522999998</v>
      </c>
      <c r="C304" s="2">
        <v>13383548.863399999</v>
      </c>
      <c r="D304" s="2" t="s">
        <v>5721</v>
      </c>
      <c r="E304" s="2">
        <v>2062506731.9300001</v>
      </c>
      <c r="F304" s="2">
        <v>251.07</v>
      </c>
      <c r="G304" s="2">
        <v>131916000</v>
      </c>
      <c r="H304" s="2">
        <v>2568376213.0999999</v>
      </c>
      <c r="I304" s="2">
        <v>1836.73341729</v>
      </c>
      <c r="J304" s="2">
        <v>2.2003195</v>
      </c>
      <c r="K304" s="2">
        <v>45398</v>
      </c>
      <c r="L304" s="2">
        <v>61230133.305500001</v>
      </c>
      <c r="M304" s="2" t="s">
        <v>5722</v>
      </c>
      <c r="N304" s="2">
        <v>9.5400473891999997</v>
      </c>
      <c r="O304" s="2">
        <v>2.26E-6</v>
      </c>
      <c r="P304" s="2">
        <v>6912938</v>
      </c>
      <c r="Q304" s="2">
        <v>549</v>
      </c>
    </row>
    <row r="305" spans="1:17" x14ac:dyDescent="0.25">
      <c r="A305" s="1">
        <v>43305</v>
      </c>
      <c r="B305" s="2">
        <v>26120825.903999999</v>
      </c>
      <c r="C305" s="2">
        <v>16334959.0196</v>
      </c>
      <c r="D305" s="2" t="s">
        <v>5723</v>
      </c>
      <c r="E305" s="2">
        <v>1986137675.3499999</v>
      </c>
      <c r="F305" s="2">
        <v>241.82</v>
      </c>
      <c r="G305" s="2">
        <v>107106000</v>
      </c>
      <c r="H305" s="2">
        <v>2569440561.1999998</v>
      </c>
      <c r="I305" s="2">
        <v>1820.0054262399999</v>
      </c>
      <c r="J305" s="2">
        <v>2.2140187899999999</v>
      </c>
      <c r="K305" s="2">
        <v>58832</v>
      </c>
      <c r="L305" s="2">
        <v>61301071.945900001</v>
      </c>
      <c r="M305" s="2" t="s">
        <v>5724</v>
      </c>
      <c r="N305" s="2">
        <v>4.6531004399999999E-2</v>
      </c>
      <c r="O305" s="2">
        <v>2.2900000000000001E-6</v>
      </c>
      <c r="P305" s="2">
        <v>10336904</v>
      </c>
      <c r="Q305" s="2">
        <v>544</v>
      </c>
    </row>
    <row r="306" spans="1:17" x14ac:dyDescent="0.25">
      <c r="A306" s="1">
        <v>43304</v>
      </c>
      <c r="B306" s="2">
        <v>64094883.067900002</v>
      </c>
      <c r="C306" s="2">
        <v>31098192.8884</v>
      </c>
      <c r="D306" s="2" t="s">
        <v>5725</v>
      </c>
      <c r="E306" s="2">
        <v>2055781801.03</v>
      </c>
      <c r="F306" s="2">
        <v>250.36</v>
      </c>
      <c r="G306" s="2">
        <v>176091008</v>
      </c>
      <c r="H306" s="2">
        <v>2569806102.5799999</v>
      </c>
      <c r="I306" s="2">
        <v>1826.69662266</v>
      </c>
      <c r="J306" s="2">
        <v>2.3597934399999998</v>
      </c>
      <c r="K306" s="2">
        <v>76345</v>
      </c>
      <c r="L306" s="2">
        <v>58510519.943300001</v>
      </c>
      <c r="M306" s="2" t="s">
        <v>5726</v>
      </c>
      <c r="N306" s="2">
        <v>4.81742712E-2</v>
      </c>
      <c r="O306" s="2">
        <v>3.72E-6</v>
      </c>
      <c r="P306" s="2">
        <v>12631427</v>
      </c>
      <c r="Q306" s="2">
        <v>546</v>
      </c>
    </row>
    <row r="307" spans="1:17" x14ac:dyDescent="0.25">
      <c r="A307" s="1">
        <v>43303</v>
      </c>
      <c r="B307" s="2">
        <v>41439358.938600004</v>
      </c>
      <c r="C307" s="2">
        <v>21416906.4472</v>
      </c>
      <c r="D307" s="2" t="s">
        <v>5727</v>
      </c>
      <c r="E307" s="2">
        <v>2094015636.1500001</v>
      </c>
      <c r="F307" s="2">
        <v>255.07</v>
      </c>
      <c r="G307" s="2">
        <v>163632992</v>
      </c>
      <c r="H307" s="2">
        <v>2581756831.23</v>
      </c>
      <c r="I307" s="2">
        <v>1853.4614083399999</v>
      </c>
      <c r="J307" s="2">
        <v>1.5258670000000001</v>
      </c>
      <c r="K307" s="2">
        <v>74287</v>
      </c>
      <c r="L307" s="2">
        <v>58293956.683700003</v>
      </c>
      <c r="M307" s="2" t="s">
        <v>5728</v>
      </c>
      <c r="N307" s="2">
        <v>4.9080569400000003E-2</v>
      </c>
      <c r="O307" s="2">
        <v>2.26E-6</v>
      </c>
      <c r="P307" s="2">
        <v>12688882</v>
      </c>
      <c r="Q307" s="2">
        <v>554</v>
      </c>
    </row>
    <row r="308" spans="1:17" x14ac:dyDescent="0.25">
      <c r="A308" s="1">
        <v>43302</v>
      </c>
      <c r="B308" s="2">
        <v>523826420.91100001</v>
      </c>
      <c r="C308" s="2">
        <v>19804284.718800001</v>
      </c>
      <c r="D308" s="2" t="s">
        <v>5729</v>
      </c>
      <c r="E308" s="2">
        <v>2038757118.4200001</v>
      </c>
      <c r="F308" s="2">
        <v>248.4</v>
      </c>
      <c r="G308" s="2">
        <v>137596000</v>
      </c>
      <c r="H308" s="2">
        <v>2580886273.8099999</v>
      </c>
      <c r="I308" s="2">
        <v>1836.73341729</v>
      </c>
      <c r="J308" s="2">
        <v>2.0765934700000002</v>
      </c>
      <c r="K308" s="2">
        <v>94262</v>
      </c>
      <c r="L308" s="2">
        <v>57009782.1686</v>
      </c>
      <c r="M308" s="2" t="s">
        <v>5730</v>
      </c>
      <c r="N308" s="2">
        <v>4.7797128000000001E-2</v>
      </c>
      <c r="O308" s="2">
        <v>2.26E-6</v>
      </c>
      <c r="P308" s="2">
        <v>16276994</v>
      </c>
      <c r="Q308" s="2">
        <v>549</v>
      </c>
    </row>
    <row r="309" spans="1:17" x14ac:dyDescent="0.25">
      <c r="A309" s="1">
        <v>43301</v>
      </c>
      <c r="B309" s="2">
        <v>94412933.610100001</v>
      </c>
      <c r="C309" s="2">
        <v>38618270.023999996</v>
      </c>
      <c r="D309" s="2" t="s">
        <v>5731</v>
      </c>
      <c r="E309" s="2">
        <v>2137076119.8199999</v>
      </c>
      <c r="F309" s="2">
        <v>260.43</v>
      </c>
      <c r="G309" s="2">
        <v>172104992</v>
      </c>
      <c r="H309" s="2">
        <v>2579743282.2600002</v>
      </c>
      <c r="I309" s="2">
        <v>1830.0422208699999</v>
      </c>
      <c r="J309" s="2">
        <v>2.52462337</v>
      </c>
      <c r="K309" s="2">
        <v>110000</v>
      </c>
      <c r="L309" s="2">
        <v>63498110.889200002</v>
      </c>
      <c r="M309" s="2" t="s">
        <v>5732</v>
      </c>
      <c r="N309" s="2">
        <v>2.6117222550000001</v>
      </c>
      <c r="O309" s="2">
        <v>2.26E-6</v>
      </c>
      <c r="P309" s="2">
        <v>20577944</v>
      </c>
      <c r="Q309" s="2">
        <v>547</v>
      </c>
    </row>
    <row r="310" spans="1:17" x14ac:dyDescent="0.25">
      <c r="A310" s="1">
        <v>43300</v>
      </c>
      <c r="B310" s="2">
        <v>244431769.95199999</v>
      </c>
      <c r="C310" s="2">
        <v>24125916.340599999</v>
      </c>
      <c r="D310" s="2" t="s">
        <v>5733</v>
      </c>
      <c r="E310" s="2">
        <v>2176207119.29</v>
      </c>
      <c r="F310" s="2">
        <v>265.26</v>
      </c>
      <c r="G310" s="2">
        <v>213808992</v>
      </c>
      <c r="H310" s="2">
        <v>2583536130.8499999</v>
      </c>
      <c r="I310" s="2">
        <v>1830.0422208699999</v>
      </c>
      <c r="J310" s="2">
        <v>3.3505509500000001</v>
      </c>
      <c r="K310" s="2">
        <v>151384</v>
      </c>
      <c r="L310" s="2">
        <v>59642485.267300002</v>
      </c>
      <c r="M310" s="2" t="s">
        <v>5734</v>
      </c>
      <c r="N310" s="2">
        <v>2.6601280788000001</v>
      </c>
      <c r="O310" s="2">
        <v>1.9199999999999998E-6</v>
      </c>
      <c r="P310" s="2">
        <v>72899921</v>
      </c>
      <c r="Q310" s="2">
        <v>547</v>
      </c>
    </row>
    <row r="311" spans="1:17" x14ac:dyDescent="0.25">
      <c r="A311" s="1">
        <v>43299</v>
      </c>
      <c r="B311" s="2">
        <v>135887363.708</v>
      </c>
      <c r="C311" s="2">
        <v>38565156.3464</v>
      </c>
      <c r="D311" s="2" t="s">
        <v>5735</v>
      </c>
      <c r="E311" s="2">
        <v>2132501920.52</v>
      </c>
      <c r="F311" s="2">
        <v>259.99</v>
      </c>
      <c r="G311" s="2">
        <v>251270000</v>
      </c>
      <c r="H311" s="2">
        <v>2583423174.6999998</v>
      </c>
      <c r="I311" s="2">
        <v>1850.11581013</v>
      </c>
      <c r="J311" s="2">
        <v>3.4040549000000002</v>
      </c>
      <c r="K311" s="2">
        <v>223761</v>
      </c>
      <c r="L311" s="2">
        <v>52284199.253700003</v>
      </c>
      <c r="M311" s="2" t="s">
        <v>5736</v>
      </c>
      <c r="N311" s="2">
        <v>2.6112927618000001</v>
      </c>
      <c r="O311" s="2">
        <v>1.9199999999999998E-6</v>
      </c>
      <c r="P311" s="2">
        <v>105675324</v>
      </c>
      <c r="Q311" s="2">
        <v>553</v>
      </c>
    </row>
    <row r="312" spans="1:17" x14ac:dyDescent="0.25">
      <c r="A312" s="1">
        <v>43298</v>
      </c>
      <c r="B312" s="2">
        <v>33451461.279300001</v>
      </c>
      <c r="C312" s="2">
        <v>27792324.895599999</v>
      </c>
      <c r="D312" s="2" t="s">
        <v>5737</v>
      </c>
      <c r="E312" s="2">
        <v>2023284971.04</v>
      </c>
      <c r="F312" s="2">
        <v>246.73</v>
      </c>
      <c r="G312" s="2">
        <v>216190000</v>
      </c>
      <c r="H312" s="2">
        <v>2584881434.4000001</v>
      </c>
      <c r="I312" s="2">
        <v>1820.0054262399999</v>
      </c>
      <c r="J312" s="2">
        <v>3.51000281</v>
      </c>
      <c r="K312" s="2">
        <v>41912</v>
      </c>
      <c r="L312" s="2">
        <v>56903426.689800002</v>
      </c>
      <c r="M312" s="2" t="s">
        <v>5738</v>
      </c>
      <c r="N312" s="2">
        <v>5.3617587143999996</v>
      </c>
      <c r="O312" s="2">
        <v>1.9199999999999998E-6</v>
      </c>
      <c r="P312" s="2">
        <v>15222570</v>
      </c>
      <c r="Q312" s="2">
        <v>544</v>
      </c>
    </row>
    <row r="313" spans="1:17" x14ac:dyDescent="0.25">
      <c r="A313" s="1">
        <v>43297</v>
      </c>
      <c r="B313" s="2">
        <v>25300424.8629</v>
      </c>
      <c r="C313" s="2">
        <v>18646857.122499999</v>
      </c>
      <c r="D313" s="2" t="s">
        <v>5739</v>
      </c>
      <c r="E313" s="2">
        <v>1903116999.1600001</v>
      </c>
      <c r="F313" s="2">
        <v>232.13</v>
      </c>
      <c r="G313" s="2">
        <v>159618000</v>
      </c>
      <c r="H313" s="2">
        <v>2582880970.6300001</v>
      </c>
      <c r="I313" s="2">
        <v>1840.0790155</v>
      </c>
      <c r="J313" s="2">
        <v>3.7609909899999998</v>
      </c>
      <c r="K313" s="2">
        <v>43996</v>
      </c>
      <c r="L313" s="2">
        <v>57447493.590300001</v>
      </c>
      <c r="M313" s="2" t="s">
        <v>5740</v>
      </c>
      <c r="N313" s="2">
        <v>7.7596555678000003</v>
      </c>
      <c r="O313" s="2">
        <v>2.26E-6</v>
      </c>
      <c r="P313" s="2">
        <v>7267573</v>
      </c>
      <c r="Q313" s="2">
        <v>550</v>
      </c>
    </row>
    <row r="314" spans="1:17" x14ac:dyDescent="0.25">
      <c r="A314" s="1">
        <v>43296</v>
      </c>
      <c r="B314" s="2">
        <v>205769168.79899999</v>
      </c>
      <c r="C314" s="2">
        <v>61600027.324600004</v>
      </c>
      <c r="D314" s="2" t="s">
        <v>5741</v>
      </c>
      <c r="E314" s="2">
        <v>1840688347.23</v>
      </c>
      <c r="F314" s="2">
        <v>224.57</v>
      </c>
      <c r="G314" s="2">
        <v>144706000</v>
      </c>
      <c r="H314" s="2">
        <v>2586469142.0300002</v>
      </c>
      <c r="I314" s="2">
        <v>1833.3878190800001</v>
      </c>
      <c r="J314" s="2">
        <v>3.3877093399999998</v>
      </c>
      <c r="K314" s="2">
        <v>34615</v>
      </c>
      <c r="L314" s="2">
        <v>55437172.2117</v>
      </c>
      <c r="M314" s="2" t="s">
        <v>5742</v>
      </c>
      <c r="N314" s="2">
        <v>6.1610644757999999</v>
      </c>
      <c r="O314" s="2">
        <v>2.26E-6</v>
      </c>
      <c r="P314" s="2">
        <v>5831157</v>
      </c>
      <c r="Q314" s="2">
        <v>548</v>
      </c>
    </row>
    <row r="315" spans="1:17" x14ac:dyDescent="0.25">
      <c r="A315" s="1">
        <v>43295</v>
      </c>
      <c r="B315" s="2">
        <v>25573809.309300002</v>
      </c>
      <c r="C315" s="2">
        <v>18533949.281599998</v>
      </c>
      <c r="D315" s="2" t="s">
        <v>5743</v>
      </c>
      <c r="E315" s="2">
        <v>1793655990.5599999</v>
      </c>
      <c r="F315" s="2">
        <v>218.88</v>
      </c>
      <c r="G315" s="2">
        <v>122131000</v>
      </c>
      <c r="H315" s="2">
        <v>2602779593.77</v>
      </c>
      <c r="I315" s="2">
        <v>1833.3878190800001</v>
      </c>
      <c r="J315" s="2">
        <v>2.9741881600000002</v>
      </c>
      <c r="K315" s="2">
        <v>44289</v>
      </c>
      <c r="L315" s="2">
        <v>58701845.734499998</v>
      </c>
      <c r="M315" s="2" t="s">
        <v>5744</v>
      </c>
      <c r="N315" s="2">
        <v>10.439337139199999</v>
      </c>
      <c r="O315" s="2">
        <v>3.72E-6</v>
      </c>
      <c r="P315" s="2">
        <v>7176222</v>
      </c>
      <c r="Q315" s="2">
        <v>548</v>
      </c>
    </row>
    <row r="316" spans="1:17" x14ac:dyDescent="0.25">
      <c r="A316" s="1">
        <v>43294</v>
      </c>
      <c r="B316" s="2">
        <v>23780670.8486</v>
      </c>
      <c r="C316" s="2">
        <v>15238025.1307</v>
      </c>
      <c r="D316" s="2" t="s">
        <v>5745</v>
      </c>
      <c r="E316" s="2">
        <v>1737330663.4400001</v>
      </c>
      <c r="F316" s="2">
        <v>212.05</v>
      </c>
      <c r="G316" s="2">
        <v>240115008</v>
      </c>
      <c r="H316" s="2">
        <v>2613509328.8400002</v>
      </c>
      <c r="I316" s="2">
        <v>1836.73341729</v>
      </c>
      <c r="J316" s="2">
        <v>3.8779235399999998</v>
      </c>
      <c r="K316" s="2">
        <v>42435</v>
      </c>
      <c r="L316" s="2">
        <v>54930160.389600001</v>
      </c>
      <c r="M316" s="2" t="s">
        <v>5746</v>
      </c>
      <c r="N316" s="2">
        <v>13.643449675999999</v>
      </c>
      <c r="O316" s="2">
        <v>2.6599999999999999E-6</v>
      </c>
      <c r="P316" s="2">
        <v>7498347</v>
      </c>
      <c r="Q316" s="2">
        <v>549</v>
      </c>
    </row>
    <row r="317" spans="1:17" x14ac:dyDescent="0.25">
      <c r="A317" s="1">
        <v>43293</v>
      </c>
      <c r="B317" s="2">
        <v>37478403.585299999</v>
      </c>
      <c r="C317" s="2">
        <v>25913679.320099998</v>
      </c>
      <c r="D317" s="2" t="s">
        <v>5747</v>
      </c>
      <c r="E317" s="2">
        <v>1787071531.79</v>
      </c>
      <c r="F317" s="2">
        <v>218.17</v>
      </c>
      <c r="G317" s="2">
        <v>239220992</v>
      </c>
      <c r="H317" s="2">
        <v>2615122760.71</v>
      </c>
      <c r="I317" s="2">
        <v>1846.7702119200001</v>
      </c>
      <c r="J317" s="2">
        <v>2.9442866400000001</v>
      </c>
      <c r="K317" s="2">
        <v>45730</v>
      </c>
      <c r="L317" s="2">
        <v>51578408.027900003</v>
      </c>
      <c r="M317" s="2" t="s">
        <v>5748</v>
      </c>
      <c r="N317" s="2">
        <v>8.7268000000000008</v>
      </c>
      <c r="O317" s="2">
        <v>2.26E-6</v>
      </c>
      <c r="P317" s="2">
        <v>7301986</v>
      </c>
      <c r="Q317" s="2">
        <v>552</v>
      </c>
    </row>
    <row r="318" spans="1:17" x14ac:dyDescent="0.25">
      <c r="A318" s="1">
        <v>43292</v>
      </c>
      <c r="B318" s="2">
        <v>40245376.6611</v>
      </c>
      <c r="C318" s="2">
        <v>31281833.3136</v>
      </c>
      <c r="D318" s="2" t="s">
        <v>5749</v>
      </c>
      <c r="E318" s="2">
        <v>1808239459.74</v>
      </c>
      <c r="F318" s="2">
        <v>220.8</v>
      </c>
      <c r="G318" s="2">
        <v>237408000</v>
      </c>
      <c r="H318" s="2">
        <v>2618606010.6199999</v>
      </c>
      <c r="I318" s="2">
        <v>1836.73341729</v>
      </c>
      <c r="J318" s="2">
        <v>3.7032111300000001</v>
      </c>
      <c r="K318" s="2">
        <v>45249</v>
      </c>
      <c r="L318" s="2">
        <v>53169374.863600001</v>
      </c>
      <c r="M318" s="2" t="s">
        <v>5750</v>
      </c>
      <c r="N318" s="2">
        <v>7.6211018880000001</v>
      </c>
      <c r="O318" s="2">
        <v>2.26E-6</v>
      </c>
      <c r="P318" s="2">
        <v>7427345</v>
      </c>
      <c r="Q318" s="2">
        <v>549</v>
      </c>
    </row>
    <row r="319" spans="1:17" x14ac:dyDescent="0.25">
      <c r="A319" s="1">
        <v>43291</v>
      </c>
      <c r="B319" s="2">
        <v>14535614.6854</v>
      </c>
      <c r="C319" s="2">
        <v>9977415.6950800009</v>
      </c>
      <c r="D319" s="2" t="s">
        <v>5751</v>
      </c>
      <c r="E319" s="2">
        <v>1900939633.9300001</v>
      </c>
      <c r="F319" s="2">
        <v>232.18</v>
      </c>
      <c r="G319" s="2">
        <v>174620992</v>
      </c>
      <c r="H319" s="2">
        <v>2644707931.5999999</v>
      </c>
      <c r="I319" s="2">
        <v>1853.4614083399999</v>
      </c>
      <c r="J319" s="2">
        <v>2.9378929</v>
      </c>
      <c r="K319" s="2">
        <v>43332</v>
      </c>
      <c r="L319" s="2">
        <v>57901735.845100001</v>
      </c>
      <c r="M319" s="2" t="s">
        <v>5752</v>
      </c>
      <c r="N319" s="2">
        <v>9.2872000000000003</v>
      </c>
      <c r="O319" s="2">
        <v>2.26E-6</v>
      </c>
      <c r="P319" s="2">
        <v>7252942</v>
      </c>
      <c r="Q319" s="2">
        <v>554</v>
      </c>
    </row>
    <row r="320" spans="1:17" x14ac:dyDescent="0.25">
      <c r="A320" s="1">
        <v>43290</v>
      </c>
      <c r="B320" s="2">
        <v>240147352.271</v>
      </c>
      <c r="C320" s="2">
        <v>26091532.960200001</v>
      </c>
      <c r="D320" s="2" t="s">
        <v>5753</v>
      </c>
      <c r="E320" s="2">
        <v>1993322173.6300001</v>
      </c>
      <c r="F320" s="2">
        <v>243.51</v>
      </c>
      <c r="G320" s="2">
        <v>163096992</v>
      </c>
      <c r="H320" s="2">
        <v>2646111832.3000002</v>
      </c>
      <c r="I320" s="2">
        <v>1820.0054262399999</v>
      </c>
      <c r="J320" s="2">
        <v>2.39747317</v>
      </c>
      <c r="K320" s="2">
        <v>45785</v>
      </c>
      <c r="L320" s="2">
        <v>59543925.635499999</v>
      </c>
      <c r="M320" s="2" t="s">
        <v>5754</v>
      </c>
      <c r="N320" s="2">
        <v>4.8692892725999997</v>
      </c>
      <c r="O320" s="2">
        <v>2.26E-6</v>
      </c>
      <c r="P320" s="2">
        <v>7410419</v>
      </c>
      <c r="Q320" s="2">
        <v>544</v>
      </c>
    </row>
    <row r="321" spans="1:17" x14ac:dyDescent="0.25">
      <c r="A321" s="1">
        <v>43289</v>
      </c>
      <c r="B321" s="2">
        <v>249833238.16100001</v>
      </c>
      <c r="C321" s="2">
        <v>19802665.8391</v>
      </c>
      <c r="D321" s="2" t="s">
        <v>5755</v>
      </c>
      <c r="E321" s="2">
        <v>2020317872.9400001</v>
      </c>
      <c r="F321" s="2">
        <v>246.87</v>
      </c>
      <c r="G321" s="2">
        <v>170284992</v>
      </c>
      <c r="H321" s="2">
        <v>2648854110.3800001</v>
      </c>
      <c r="I321" s="2">
        <v>1850.11581013</v>
      </c>
      <c r="J321" s="2">
        <v>2.018103</v>
      </c>
      <c r="K321" s="2">
        <v>52396</v>
      </c>
      <c r="L321" s="2">
        <v>57851016.241400003</v>
      </c>
      <c r="M321" s="2" t="s">
        <v>5756</v>
      </c>
      <c r="N321" s="2">
        <v>4.0912876367999997</v>
      </c>
      <c r="O321" s="2">
        <v>2.26E-6</v>
      </c>
      <c r="P321" s="2">
        <v>9258870</v>
      </c>
      <c r="Q321" s="2">
        <v>553</v>
      </c>
    </row>
    <row r="322" spans="1:17" x14ac:dyDescent="0.25">
      <c r="A322" s="1">
        <v>43288</v>
      </c>
      <c r="B322" s="2">
        <v>14687909.218499999</v>
      </c>
      <c r="C322" s="2">
        <v>9092560.2324599996</v>
      </c>
      <c r="D322" s="2" t="s">
        <v>5757</v>
      </c>
      <c r="E322" s="2">
        <v>1976696351.7</v>
      </c>
      <c r="F322" s="2">
        <v>241.59</v>
      </c>
      <c r="G322" s="2">
        <v>151578000</v>
      </c>
      <c r="H322" s="2">
        <v>2648961120.0999999</v>
      </c>
      <c r="I322" s="2">
        <v>1809.9686316100001</v>
      </c>
      <c r="J322" s="2">
        <v>4.0183144200000003</v>
      </c>
      <c r="K322" s="2">
        <v>50630</v>
      </c>
      <c r="L322" s="2">
        <v>62613511.062600002</v>
      </c>
      <c r="M322" s="2" t="s">
        <v>5758</v>
      </c>
      <c r="N322" s="2">
        <v>4.2060625727999996</v>
      </c>
      <c r="O322" s="2">
        <v>2.26E-6</v>
      </c>
      <c r="P322" s="2">
        <v>10538939</v>
      </c>
      <c r="Q322" s="2">
        <v>541</v>
      </c>
    </row>
    <row r="323" spans="1:17" x14ac:dyDescent="0.25">
      <c r="A323" s="1">
        <v>43287</v>
      </c>
      <c r="B323" s="2">
        <v>21748500.766600002</v>
      </c>
      <c r="C323" s="2">
        <v>13433414.148800001</v>
      </c>
      <c r="D323" s="2" t="s">
        <v>5759</v>
      </c>
      <c r="E323" s="2">
        <v>1982296637.5899999</v>
      </c>
      <c r="F323" s="2">
        <v>242.33</v>
      </c>
      <c r="G323" s="2">
        <v>206210000</v>
      </c>
      <c r="H323" s="2">
        <v>2650381620.1300001</v>
      </c>
      <c r="I323" s="2">
        <v>1853.4614083399999</v>
      </c>
      <c r="J323" s="2">
        <v>2.9284500100000002</v>
      </c>
      <c r="K323" s="2">
        <v>59258</v>
      </c>
      <c r="L323" s="2">
        <v>58782261.716700003</v>
      </c>
      <c r="M323" s="2" t="s">
        <v>5760</v>
      </c>
      <c r="N323" s="2">
        <v>4.1589304658000001</v>
      </c>
      <c r="O323" s="2">
        <v>2.26E-6</v>
      </c>
      <c r="P323" s="2">
        <v>10803905</v>
      </c>
      <c r="Q323" s="2">
        <v>554</v>
      </c>
    </row>
    <row r="324" spans="1:17" x14ac:dyDescent="0.25">
      <c r="A324" s="1">
        <v>43286</v>
      </c>
      <c r="B324" s="2">
        <v>22266482.508200001</v>
      </c>
      <c r="C324" s="2">
        <v>15115861.1313</v>
      </c>
      <c r="D324" s="2" t="s">
        <v>5761</v>
      </c>
      <c r="E324" s="2">
        <v>2009002709.8299999</v>
      </c>
      <c r="F324" s="2">
        <v>245.65</v>
      </c>
      <c r="G324" s="2">
        <v>226226000</v>
      </c>
      <c r="H324" s="2">
        <v>2651868944.21</v>
      </c>
      <c r="I324" s="2">
        <v>1836.73341729</v>
      </c>
      <c r="J324" s="2">
        <v>3.2211420500000001</v>
      </c>
      <c r="K324" s="2">
        <v>53013</v>
      </c>
      <c r="L324" s="2">
        <v>64790782.534900002</v>
      </c>
      <c r="M324" s="2" t="s">
        <v>5762</v>
      </c>
      <c r="N324" s="2">
        <v>3.1420133465000002</v>
      </c>
      <c r="O324" s="2">
        <v>2.26E-6</v>
      </c>
      <c r="P324" s="2">
        <v>8320163</v>
      </c>
      <c r="Q324" s="2">
        <v>549</v>
      </c>
    </row>
    <row r="325" spans="1:17" x14ac:dyDescent="0.25">
      <c r="A325" s="1">
        <v>43285</v>
      </c>
      <c r="B325" s="2">
        <v>54340125.654700004</v>
      </c>
      <c r="C325" s="2">
        <v>22441273.540899999</v>
      </c>
      <c r="D325" s="2" t="s">
        <v>5763</v>
      </c>
      <c r="E325" s="2">
        <v>1948137022.79</v>
      </c>
      <c r="F325" s="2">
        <v>238.26</v>
      </c>
      <c r="G325" s="2">
        <v>233191008</v>
      </c>
      <c r="H325" s="2">
        <v>2654991610.4099998</v>
      </c>
      <c r="I325" s="2">
        <v>1826.69662266</v>
      </c>
      <c r="J325" s="2">
        <v>3.5102392299999998</v>
      </c>
      <c r="K325" s="2">
        <v>57031</v>
      </c>
      <c r="L325" s="2">
        <v>59032450.308200002</v>
      </c>
      <c r="M325" s="2" t="s">
        <v>5764</v>
      </c>
      <c r="N325" s="2">
        <v>3.1438478478</v>
      </c>
      <c r="O325" s="2">
        <v>2.26E-6</v>
      </c>
      <c r="P325" s="2">
        <v>9152794</v>
      </c>
      <c r="Q325" s="2">
        <v>546</v>
      </c>
    </row>
    <row r="326" spans="1:17" x14ac:dyDescent="0.25">
      <c r="A326" s="1">
        <v>43284</v>
      </c>
      <c r="B326" s="2">
        <v>21288668.692899998</v>
      </c>
      <c r="C326" s="2">
        <v>14331790.1175</v>
      </c>
      <c r="D326" s="2" t="s">
        <v>5765</v>
      </c>
      <c r="E326" s="2">
        <v>2033944780.0799999</v>
      </c>
      <c r="F326" s="2">
        <v>248.81</v>
      </c>
      <c r="G326" s="2">
        <v>188614000</v>
      </c>
      <c r="H326" s="2">
        <v>2659818439.3600001</v>
      </c>
      <c r="I326" s="2">
        <v>8025.4314083400004</v>
      </c>
      <c r="J326" s="2">
        <v>3.5928925399999998</v>
      </c>
      <c r="K326" s="2">
        <v>56581</v>
      </c>
      <c r="L326" s="2">
        <v>59546625.522500001</v>
      </c>
      <c r="M326" s="2" t="s">
        <v>5766</v>
      </c>
      <c r="N326" s="2">
        <v>3.1681549563</v>
      </c>
      <c r="O326" s="2">
        <v>2.26E-6</v>
      </c>
      <c r="P326" s="2">
        <v>9471081</v>
      </c>
      <c r="Q326" s="2">
        <v>554</v>
      </c>
    </row>
    <row r="327" spans="1:17" x14ac:dyDescent="0.25">
      <c r="A327" s="1">
        <v>43283</v>
      </c>
      <c r="B327" s="2">
        <v>26508657.202799998</v>
      </c>
      <c r="C327" s="2">
        <v>17179272.795299999</v>
      </c>
      <c r="D327" s="2" t="s">
        <v>5767</v>
      </c>
      <c r="E327" s="2">
        <v>1924990133.97</v>
      </c>
      <c r="F327" s="2">
        <v>235.71</v>
      </c>
      <c r="G327" s="2">
        <v>156646000</v>
      </c>
      <c r="H327" s="2">
        <v>2661353817.1399999</v>
      </c>
      <c r="I327" s="2">
        <v>1830.0422208699999</v>
      </c>
      <c r="J327" s="2">
        <v>2.75935</v>
      </c>
      <c r="K327" s="2">
        <v>55353</v>
      </c>
      <c r="L327" s="2">
        <v>57342703.329400003</v>
      </c>
      <c r="M327" s="2" t="s">
        <v>5768</v>
      </c>
      <c r="N327" s="2">
        <v>3.3014391156</v>
      </c>
      <c r="O327" s="2">
        <v>2.26E-6</v>
      </c>
      <c r="P327" s="2">
        <v>9265112</v>
      </c>
      <c r="Q327" s="2">
        <v>547</v>
      </c>
    </row>
    <row r="328" spans="1:17" x14ac:dyDescent="0.25">
      <c r="A328" s="1">
        <v>43282</v>
      </c>
      <c r="B328" s="2">
        <v>13969347.5231</v>
      </c>
      <c r="C328" s="2">
        <v>8748852.4926200006</v>
      </c>
      <c r="D328" s="2" t="s">
        <v>5769</v>
      </c>
      <c r="E328" s="2">
        <v>1952541075.4100001</v>
      </c>
      <c r="F328" s="2">
        <v>239.14</v>
      </c>
      <c r="G328" s="2">
        <v>206254000</v>
      </c>
      <c r="H328" s="2">
        <v>2671246391.3800001</v>
      </c>
      <c r="I328" s="2">
        <v>1830.0422208699999</v>
      </c>
      <c r="J328" s="2">
        <v>3.53991736</v>
      </c>
      <c r="K328" s="2">
        <v>52295</v>
      </c>
      <c r="L328" s="2">
        <v>57241050.865199998</v>
      </c>
      <c r="M328" s="2" t="s">
        <v>5770</v>
      </c>
      <c r="N328" s="2">
        <v>3.3484167573999999</v>
      </c>
      <c r="O328" s="2">
        <v>2.2699999999999999E-6</v>
      </c>
      <c r="P328" s="2">
        <v>8653986</v>
      </c>
      <c r="Q328" s="2">
        <v>547</v>
      </c>
    </row>
    <row r="329" spans="1:17" x14ac:dyDescent="0.25">
      <c r="A329" s="1">
        <v>43281</v>
      </c>
      <c r="B329" s="2">
        <v>12609980.629799999</v>
      </c>
      <c r="C329" s="2">
        <v>8993252.2540300004</v>
      </c>
      <c r="D329" s="2" t="s">
        <v>5771</v>
      </c>
      <c r="E329" s="2">
        <v>1913899743.04</v>
      </c>
      <c r="F329" s="2">
        <v>234.46</v>
      </c>
      <c r="G329" s="2">
        <v>104743000</v>
      </c>
      <c r="H329" s="2">
        <v>2672176646.5700002</v>
      </c>
      <c r="I329" s="2">
        <v>1850.11581013</v>
      </c>
      <c r="J329" s="2">
        <v>3.12073818</v>
      </c>
      <c r="K329" s="2">
        <v>51319</v>
      </c>
      <c r="L329" s="2">
        <v>55400512.012400001</v>
      </c>
      <c r="M329" s="2" t="s">
        <v>5772</v>
      </c>
      <c r="N329" s="2">
        <v>3.2833684615999998</v>
      </c>
      <c r="O329" s="2">
        <v>3.4199999999999999E-6</v>
      </c>
      <c r="P329" s="2">
        <v>8869971</v>
      </c>
      <c r="Q329" s="2">
        <v>553</v>
      </c>
    </row>
    <row r="330" spans="1:17" x14ac:dyDescent="0.25">
      <c r="A330" s="1">
        <v>43280</v>
      </c>
      <c r="B330" s="2">
        <v>23349873.8774</v>
      </c>
      <c r="C330" s="2">
        <v>11566054.2611</v>
      </c>
      <c r="D330" s="2" t="s">
        <v>5773</v>
      </c>
      <c r="E330" s="2">
        <v>1791278814.8299999</v>
      </c>
      <c r="F330" s="2">
        <v>219.49</v>
      </c>
      <c r="G330" s="2">
        <v>144490000</v>
      </c>
      <c r="H330" s="2">
        <v>2672559022.7800002</v>
      </c>
      <c r="I330" s="2">
        <v>1823.3510244500001</v>
      </c>
      <c r="J330" s="2">
        <v>3.7455251700000001</v>
      </c>
      <c r="K330" s="2">
        <v>55890</v>
      </c>
      <c r="L330" s="2">
        <v>58094354.921700001</v>
      </c>
      <c r="M330" s="2" t="s">
        <v>5774</v>
      </c>
      <c r="N330" s="2">
        <v>3.0731343624999998</v>
      </c>
      <c r="O330" s="2">
        <v>2.26E-6</v>
      </c>
      <c r="P330" s="2">
        <v>9269281</v>
      </c>
      <c r="Q330" s="2">
        <v>545</v>
      </c>
    </row>
    <row r="331" spans="1:17" x14ac:dyDescent="0.25">
      <c r="A331" s="1">
        <v>43279</v>
      </c>
      <c r="B331" s="2">
        <v>15098636.9341</v>
      </c>
      <c r="C331" s="2">
        <v>9177452.8391500004</v>
      </c>
      <c r="D331" s="2" t="s">
        <v>5775</v>
      </c>
      <c r="E331" s="2">
        <v>1871132743.73</v>
      </c>
      <c r="F331" s="2">
        <v>229.32</v>
      </c>
      <c r="G331" s="2">
        <v>164232992</v>
      </c>
      <c r="H331" s="2">
        <v>2673818573.4699998</v>
      </c>
      <c r="I331" s="2">
        <v>1836.73341729</v>
      </c>
      <c r="J331" s="2">
        <v>3.9905000300000002</v>
      </c>
      <c r="K331" s="2">
        <v>55533</v>
      </c>
      <c r="L331" s="2">
        <v>65257531.974799998</v>
      </c>
      <c r="M331" s="2" t="s">
        <v>5776</v>
      </c>
      <c r="N331" s="2">
        <v>2.7671333508</v>
      </c>
      <c r="O331" s="2">
        <v>2.26E-6</v>
      </c>
      <c r="P331" s="2">
        <v>8710166</v>
      </c>
      <c r="Q331" s="2">
        <v>549</v>
      </c>
    </row>
    <row r="332" spans="1:17" x14ac:dyDescent="0.25">
      <c r="A332" s="1">
        <v>43278</v>
      </c>
      <c r="B332" s="2">
        <v>21195022.4586</v>
      </c>
      <c r="C332" s="2">
        <v>12371133.5944</v>
      </c>
      <c r="D332" s="2" t="s">
        <v>5777</v>
      </c>
      <c r="E332" s="2">
        <v>1891880289.6099999</v>
      </c>
      <c r="F332" s="2">
        <v>231.92</v>
      </c>
      <c r="G332" s="2">
        <v>152626000</v>
      </c>
      <c r="H332" s="2">
        <v>2676005808.1999998</v>
      </c>
      <c r="I332" s="2">
        <v>1830.0422208699999</v>
      </c>
      <c r="J332" s="2">
        <v>4.3300604900000002</v>
      </c>
      <c r="K332" s="2">
        <v>59084</v>
      </c>
      <c r="L332" s="2">
        <v>57124423.745899998</v>
      </c>
      <c r="M332" s="2" t="s">
        <v>5778</v>
      </c>
      <c r="N332" s="2">
        <v>2.7568284016</v>
      </c>
      <c r="O332" s="2">
        <v>2.26E-6</v>
      </c>
      <c r="P332" s="2">
        <v>9618653</v>
      </c>
      <c r="Q332" s="2">
        <v>547</v>
      </c>
    </row>
    <row r="333" spans="1:17" x14ac:dyDescent="0.25">
      <c r="A333" s="1">
        <v>43277</v>
      </c>
      <c r="B333" s="2">
        <v>63808945.410300002</v>
      </c>
      <c r="C333" s="2">
        <v>22697395.804099999</v>
      </c>
      <c r="D333" s="2" t="s">
        <v>5779</v>
      </c>
      <c r="E333" s="2">
        <v>1967337451.29</v>
      </c>
      <c r="F333" s="2">
        <v>241.22</v>
      </c>
      <c r="G333" s="2">
        <v>185207008</v>
      </c>
      <c r="H333" s="2">
        <v>2678471527.5900002</v>
      </c>
      <c r="I333" s="2">
        <v>1830.0422208699999</v>
      </c>
      <c r="J333" s="2">
        <v>3.5252946199999999</v>
      </c>
      <c r="K333" s="2">
        <v>53849</v>
      </c>
      <c r="L333" s="2">
        <v>57981913.317299999</v>
      </c>
      <c r="M333" s="2" t="s">
        <v>5780</v>
      </c>
      <c r="N333" s="2">
        <v>2.8206023454000002</v>
      </c>
      <c r="O333" s="2">
        <v>2.26E-6</v>
      </c>
      <c r="P333" s="2">
        <v>8605514</v>
      </c>
      <c r="Q333" s="2">
        <v>547</v>
      </c>
    </row>
    <row r="334" spans="1:17" x14ac:dyDescent="0.25">
      <c r="A334" s="1">
        <v>43276</v>
      </c>
      <c r="B334" s="2">
        <v>20747068.0535</v>
      </c>
      <c r="C334" s="2">
        <v>11543520.0188</v>
      </c>
      <c r="D334" s="2" t="s">
        <v>5781</v>
      </c>
      <c r="E334" s="2">
        <v>1937547154.3</v>
      </c>
      <c r="F334" s="2">
        <v>237.62</v>
      </c>
      <c r="G334" s="2">
        <v>129569000</v>
      </c>
      <c r="H334" s="2">
        <v>2680127191.71</v>
      </c>
      <c r="I334" s="2">
        <v>1843.4246137099999</v>
      </c>
      <c r="J334" s="2">
        <v>4.5702016499999996</v>
      </c>
      <c r="K334" s="2">
        <v>65937</v>
      </c>
      <c r="L334" s="2">
        <v>54877876.305200003</v>
      </c>
      <c r="M334" s="2" t="s">
        <v>5782</v>
      </c>
      <c r="N334" s="2">
        <v>2.7691355606000001</v>
      </c>
      <c r="O334" s="2">
        <v>2.26E-6</v>
      </c>
      <c r="P334" s="2">
        <v>10617770</v>
      </c>
      <c r="Q334" s="2">
        <v>551</v>
      </c>
    </row>
    <row r="335" spans="1:17" x14ac:dyDescent="0.25">
      <c r="A335" s="1">
        <v>43275</v>
      </c>
      <c r="B335" s="2">
        <v>16058486.5723</v>
      </c>
      <c r="C335" s="2">
        <v>11219377.1109</v>
      </c>
      <c r="D335" s="2" t="s">
        <v>5783</v>
      </c>
      <c r="E335" s="2">
        <v>1980383157.25</v>
      </c>
      <c r="F335" s="2">
        <v>242.93</v>
      </c>
      <c r="G335" s="2">
        <v>107736000</v>
      </c>
      <c r="H335" s="2">
        <v>2680960708.0300002</v>
      </c>
      <c r="I335" s="2">
        <v>1836.73341729</v>
      </c>
      <c r="J335" s="2">
        <v>3.2601974899999999</v>
      </c>
      <c r="K335" s="2">
        <v>61920</v>
      </c>
      <c r="L335" s="2">
        <v>56406308.045999996</v>
      </c>
      <c r="M335" s="2" t="s">
        <v>5784</v>
      </c>
      <c r="N335" s="2">
        <v>2.7848426308000001</v>
      </c>
      <c r="O335" s="2">
        <v>2.26E-6</v>
      </c>
      <c r="P335" s="2">
        <v>10304669</v>
      </c>
      <c r="Q335" s="2">
        <v>549</v>
      </c>
    </row>
    <row r="336" spans="1:17" x14ac:dyDescent="0.25">
      <c r="A336" s="1">
        <v>43274</v>
      </c>
      <c r="B336" s="2">
        <v>98463316.3891</v>
      </c>
      <c r="C336" s="2">
        <v>33237221.215500001</v>
      </c>
      <c r="D336" s="2" t="s">
        <v>5785</v>
      </c>
      <c r="E336" s="2">
        <v>1930082288.5899999</v>
      </c>
      <c r="F336" s="2">
        <v>236.82</v>
      </c>
      <c r="G336" s="2">
        <v>55232200</v>
      </c>
      <c r="H336" s="2">
        <v>2683815462.2600002</v>
      </c>
      <c r="I336" s="2">
        <v>1826.69662266</v>
      </c>
      <c r="J336" s="2">
        <v>3.7941596299999998</v>
      </c>
      <c r="K336" s="2">
        <v>83283</v>
      </c>
      <c r="L336" s="2">
        <v>60236900.920699999</v>
      </c>
      <c r="M336" s="2" t="s">
        <v>5786</v>
      </c>
      <c r="N336" s="2">
        <v>2.6572032870000002</v>
      </c>
      <c r="O336" s="2">
        <v>2.26E-6</v>
      </c>
      <c r="P336" s="2">
        <v>14111269</v>
      </c>
      <c r="Q336" s="2">
        <v>546</v>
      </c>
    </row>
    <row r="337" spans="1:17" x14ac:dyDescent="0.25">
      <c r="A337" s="1">
        <v>43273</v>
      </c>
      <c r="B337" s="2">
        <v>128219494.75300001</v>
      </c>
      <c r="C337" s="2">
        <v>38762832.103399999</v>
      </c>
      <c r="D337" s="2" t="s">
        <v>5787</v>
      </c>
      <c r="E337" s="2">
        <v>2125800174.9400001</v>
      </c>
      <c r="F337" s="2">
        <v>260.89</v>
      </c>
      <c r="G337" s="2">
        <v>58715100</v>
      </c>
      <c r="H337" s="2">
        <v>2684195568.4000001</v>
      </c>
      <c r="I337" s="2">
        <v>1820.0054262399999</v>
      </c>
      <c r="J337" s="2">
        <v>5.6221113899999997</v>
      </c>
      <c r="K337" s="2">
        <v>70055</v>
      </c>
      <c r="L337" s="2">
        <v>63235106.835699998</v>
      </c>
      <c r="M337" s="2" t="s">
        <v>5788</v>
      </c>
      <c r="N337" s="2">
        <v>3.0206418157999999</v>
      </c>
      <c r="O337" s="2">
        <v>3.7299999999999999E-6</v>
      </c>
      <c r="P337" s="2">
        <v>12098204</v>
      </c>
      <c r="Q337" s="2">
        <v>544</v>
      </c>
    </row>
    <row r="338" spans="1:17" x14ac:dyDescent="0.25">
      <c r="A338" s="1">
        <v>43272</v>
      </c>
      <c r="B338" s="2">
        <v>44676815.122100003</v>
      </c>
      <c r="C338" s="2">
        <v>19648616.2621</v>
      </c>
      <c r="D338" s="2" t="s">
        <v>5789</v>
      </c>
      <c r="E338" s="2">
        <v>2163087447.1300001</v>
      </c>
      <c r="F338" s="2">
        <v>265.52</v>
      </c>
      <c r="G338" s="2">
        <v>50978600</v>
      </c>
      <c r="H338" s="2">
        <v>2683494940.7399998</v>
      </c>
      <c r="I338" s="2">
        <v>1846.7702119200001</v>
      </c>
      <c r="J338" s="2">
        <v>3.7712953100000002</v>
      </c>
      <c r="K338" s="2">
        <v>57334</v>
      </c>
      <c r="L338" s="2">
        <v>60154104.841899998</v>
      </c>
      <c r="M338" s="2" t="s">
        <v>5790</v>
      </c>
      <c r="N338" s="2">
        <v>3.6053314576000002</v>
      </c>
      <c r="O338" s="2">
        <v>2.26E-6</v>
      </c>
      <c r="P338" s="2">
        <v>9522589</v>
      </c>
      <c r="Q338" s="2">
        <v>552</v>
      </c>
    </row>
    <row r="339" spans="1:17" x14ac:dyDescent="0.25">
      <c r="A339" s="1">
        <v>43271</v>
      </c>
      <c r="B339" s="2">
        <v>22714958.999899998</v>
      </c>
      <c r="C339" s="2">
        <v>14075323.659</v>
      </c>
      <c r="D339" s="2" t="s">
        <v>5791</v>
      </c>
      <c r="E339" s="2">
        <v>2137193950.3499999</v>
      </c>
      <c r="F339" s="2">
        <v>262.39999999999998</v>
      </c>
      <c r="G339" s="2">
        <v>93710200</v>
      </c>
      <c r="H339" s="2">
        <v>2683475162.8200002</v>
      </c>
      <c r="I339" s="2">
        <v>1823.3510244500001</v>
      </c>
      <c r="J339" s="2">
        <v>9.7496257199999992</v>
      </c>
      <c r="K339" s="2">
        <v>66015</v>
      </c>
      <c r="L339" s="2">
        <v>57670980.806299999</v>
      </c>
      <c r="M339" s="2" t="s">
        <v>5792</v>
      </c>
      <c r="N339" s="2">
        <v>3.7351931519999999</v>
      </c>
      <c r="O339" s="2">
        <v>2.26E-6</v>
      </c>
      <c r="P339" s="2">
        <v>13150720</v>
      </c>
      <c r="Q339" s="2">
        <v>545</v>
      </c>
    </row>
    <row r="340" spans="1:17" x14ac:dyDescent="0.25">
      <c r="A340" s="1">
        <v>43270</v>
      </c>
      <c r="B340" s="2">
        <v>941727245.10000002</v>
      </c>
      <c r="C340" s="2">
        <v>62779379.307800002</v>
      </c>
      <c r="D340" s="2" t="s">
        <v>5793</v>
      </c>
      <c r="E340" s="2">
        <v>2160989833.1700001</v>
      </c>
      <c r="F340" s="2">
        <v>265.38</v>
      </c>
      <c r="G340" s="2">
        <v>144064000</v>
      </c>
      <c r="H340" s="2">
        <v>2684624143.8299999</v>
      </c>
      <c r="I340" s="2">
        <v>1853.4614083399999</v>
      </c>
      <c r="J340" s="2">
        <v>3.6914179100000002</v>
      </c>
      <c r="K340" s="2">
        <v>54602</v>
      </c>
      <c r="L340" s="2">
        <v>55330839.542000003</v>
      </c>
      <c r="M340" s="2" t="s">
        <v>5794</v>
      </c>
      <c r="N340" s="2">
        <v>4.2629448989999998</v>
      </c>
      <c r="O340" s="2">
        <v>2.26E-6</v>
      </c>
      <c r="P340" s="2">
        <v>9526077</v>
      </c>
      <c r="Q340" s="2">
        <v>554</v>
      </c>
    </row>
    <row r="341" spans="1:17" x14ac:dyDescent="0.25">
      <c r="A341" s="1">
        <v>43269</v>
      </c>
      <c r="B341" s="2">
        <v>997191819.30499995</v>
      </c>
      <c r="C341" s="2">
        <v>115479176.277</v>
      </c>
      <c r="D341" s="2" t="s">
        <v>5795</v>
      </c>
      <c r="E341" s="2">
        <v>2155327821.1700001</v>
      </c>
      <c r="F341" s="2">
        <v>264.75</v>
      </c>
      <c r="G341" s="2">
        <v>138831008</v>
      </c>
      <c r="H341" s="2">
        <v>2686394892.9899998</v>
      </c>
      <c r="I341" s="2">
        <v>1813.31422982</v>
      </c>
      <c r="J341" s="2">
        <v>2.27328157</v>
      </c>
      <c r="K341" s="2">
        <v>56218</v>
      </c>
      <c r="L341" s="2">
        <v>63483776.397600003</v>
      </c>
      <c r="M341" s="2" t="s">
        <v>5796</v>
      </c>
      <c r="N341" s="2">
        <v>3.7312064700000001</v>
      </c>
      <c r="O341" s="2">
        <v>3.6200000000000001E-6</v>
      </c>
      <c r="P341" s="2">
        <v>10876384</v>
      </c>
      <c r="Q341" s="2">
        <v>542</v>
      </c>
    </row>
    <row r="342" spans="1:17" x14ac:dyDescent="0.25">
      <c r="A342" s="1">
        <v>43268</v>
      </c>
      <c r="B342" s="2">
        <v>145575782.454</v>
      </c>
      <c r="C342" s="2">
        <v>56453176.494000003</v>
      </c>
      <c r="D342" s="2" t="s">
        <v>5797</v>
      </c>
      <c r="E342" s="2">
        <v>2169879841.8699999</v>
      </c>
      <c r="F342" s="2">
        <v>266.60000000000002</v>
      </c>
      <c r="G342" s="2">
        <v>119911000</v>
      </c>
      <c r="H342" s="2">
        <v>2689015909.6100001</v>
      </c>
      <c r="I342" s="2">
        <v>1846.7702119200001</v>
      </c>
      <c r="J342" s="2">
        <v>2.2536967099999998</v>
      </c>
      <c r="K342" s="2">
        <v>46256</v>
      </c>
      <c r="L342" s="2">
        <v>58625666.492899999</v>
      </c>
      <c r="M342" s="2" t="s">
        <v>5798</v>
      </c>
      <c r="N342" s="2">
        <v>4.1667633820000001</v>
      </c>
      <c r="O342" s="2">
        <v>3.7299999999999999E-6</v>
      </c>
      <c r="P342" s="2">
        <v>8280682</v>
      </c>
      <c r="Q342" s="2">
        <v>552</v>
      </c>
    </row>
    <row r="343" spans="1:17" x14ac:dyDescent="0.25">
      <c r="A343" s="1">
        <v>43267</v>
      </c>
      <c r="B343" s="2">
        <v>16636831.4846</v>
      </c>
      <c r="C343" s="2">
        <v>10343551.613700001</v>
      </c>
      <c r="D343" s="2" t="s">
        <v>5799</v>
      </c>
      <c r="E343" s="2">
        <v>2093281484.95</v>
      </c>
      <c r="F343" s="2">
        <v>257.24</v>
      </c>
      <c r="G343" s="2">
        <v>129594000</v>
      </c>
      <c r="H343" s="2">
        <v>2686661813.3800001</v>
      </c>
      <c r="I343" s="2">
        <v>1820.0054262399999</v>
      </c>
      <c r="J343" s="2">
        <v>2.7297480200000002</v>
      </c>
      <c r="K343" s="2">
        <v>58754</v>
      </c>
      <c r="L343" s="2">
        <v>61090055.792099997</v>
      </c>
      <c r="M343" s="2" t="s">
        <v>5800</v>
      </c>
      <c r="N343" s="2">
        <v>4.4605416</v>
      </c>
      <c r="O343" s="2">
        <v>3.7299999999999999E-6</v>
      </c>
      <c r="P343" s="2">
        <v>10121900</v>
      </c>
      <c r="Q343" s="2">
        <v>544</v>
      </c>
    </row>
    <row r="344" spans="1:17" x14ac:dyDescent="0.25">
      <c r="A344" s="1">
        <v>43266</v>
      </c>
      <c r="B344" s="2">
        <v>16725830.194599999</v>
      </c>
      <c r="C344" s="2">
        <v>11390708.0856</v>
      </c>
      <c r="D344" s="2" t="s">
        <v>5801</v>
      </c>
      <c r="E344" s="2">
        <v>2182501090.6599998</v>
      </c>
      <c r="F344" s="2">
        <v>268.27</v>
      </c>
      <c r="G344" s="2">
        <v>146774000</v>
      </c>
      <c r="H344" s="2">
        <v>2686768087.3099999</v>
      </c>
      <c r="I344" s="2">
        <v>1836.73341729</v>
      </c>
      <c r="J344" s="2">
        <v>2.4372147200000001</v>
      </c>
      <c r="K344" s="2">
        <v>48085</v>
      </c>
      <c r="L344" s="2">
        <v>61076198.868500002</v>
      </c>
      <c r="M344" s="2" t="s">
        <v>5802</v>
      </c>
      <c r="N344" s="2">
        <v>4.6522820032999999</v>
      </c>
      <c r="O344" s="2">
        <v>2.26E-6</v>
      </c>
      <c r="P344" s="2">
        <v>8433325</v>
      </c>
      <c r="Q344" s="2">
        <v>549</v>
      </c>
    </row>
    <row r="345" spans="1:17" x14ac:dyDescent="0.25">
      <c r="A345" s="1">
        <v>43265</v>
      </c>
      <c r="B345" s="2">
        <v>23215442.129799999</v>
      </c>
      <c r="C345" s="2">
        <v>13462501.6954</v>
      </c>
      <c r="D345" s="2" t="s">
        <v>5803</v>
      </c>
      <c r="E345" s="2">
        <v>2000161744.9400001</v>
      </c>
      <c r="F345" s="2">
        <v>245.91</v>
      </c>
      <c r="G345" s="2">
        <v>112286000</v>
      </c>
      <c r="H345" s="2">
        <v>2688927766</v>
      </c>
      <c r="I345" s="2">
        <v>1823.3510244500001</v>
      </c>
      <c r="J345" s="2">
        <v>2.1858089500000002</v>
      </c>
      <c r="K345" s="2">
        <v>48293</v>
      </c>
      <c r="L345" s="2">
        <v>57182455.950800002</v>
      </c>
      <c r="M345" s="2" t="s">
        <v>5804</v>
      </c>
      <c r="N345" s="2">
        <v>4.2501338438999996</v>
      </c>
      <c r="O345" s="2">
        <v>2.2699999999999999E-6</v>
      </c>
      <c r="P345" s="2">
        <v>8837286</v>
      </c>
      <c r="Q345" s="2">
        <v>545</v>
      </c>
    </row>
    <row r="346" spans="1:17" x14ac:dyDescent="0.25">
      <c r="A346" s="1">
        <v>43264</v>
      </c>
      <c r="B346" s="2">
        <v>18801641.702</v>
      </c>
      <c r="C346" s="2">
        <v>13379874.6987</v>
      </c>
      <c r="D346" s="2" t="s">
        <v>5805</v>
      </c>
      <c r="E346" s="2">
        <v>2128742541.21</v>
      </c>
      <c r="F346" s="2">
        <v>261.77999999999997</v>
      </c>
      <c r="G346" s="2">
        <v>116406000</v>
      </c>
      <c r="H346" s="2">
        <v>2689101577.5700002</v>
      </c>
      <c r="I346" s="2">
        <v>1846.7702119200001</v>
      </c>
      <c r="J346" s="2">
        <v>2.63036665</v>
      </c>
      <c r="K346" s="2">
        <v>42453</v>
      </c>
      <c r="L346" s="2">
        <v>61821077.434900001</v>
      </c>
      <c r="M346" s="2" t="s">
        <v>5806</v>
      </c>
      <c r="N346" s="2">
        <v>15.9616978038</v>
      </c>
      <c r="O346" s="2">
        <v>2.4399999999999999E-6</v>
      </c>
      <c r="P346" s="2">
        <v>8137873</v>
      </c>
      <c r="Q346" s="2">
        <v>552</v>
      </c>
    </row>
    <row r="347" spans="1:17" x14ac:dyDescent="0.25">
      <c r="A347" s="1">
        <v>43263</v>
      </c>
      <c r="B347" s="2">
        <v>20713416.322299998</v>
      </c>
      <c r="C347" s="2">
        <v>12989207.830499999</v>
      </c>
      <c r="D347" s="2" t="s">
        <v>5807</v>
      </c>
      <c r="E347" s="2">
        <v>2197104008.4499998</v>
      </c>
      <c r="F347" s="2">
        <v>270.25</v>
      </c>
      <c r="G347" s="2">
        <v>70134304</v>
      </c>
      <c r="H347" s="2">
        <v>2693580835.0999999</v>
      </c>
      <c r="I347" s="2">
        <v>1830.0422208699999</v>
      </c>
      <c r="J347" s="2">
        <v>3.5196986199999998</v>
      </c>
      <c r="K347" s="2">
        <v>48985</v>
      </c>
      <c r="L347" s="2">
        <v>60259287.298699997</v>
      </c>
      <c r="M347" s="2" t="s">
        <v>5808</v>
      </c>
      <c r="N347" s="2">
        <v>10.810108100000001</v>
      </c>
      <c r="O347" s="2">
        <v>2.2699999999999999E-6</v>
      </c>
      <c r="P347" s="2">
        <v>7360175</v>
      </c>
      <c r="Q347" s="2">
        <v>547</v>
      </c>
    </row>
    <row r="348" spans="1:17" x14ac:dyDescent="0.25">
      <c r="A348" s="1">
        <v>43262</v>
      </c>
      <c r="B348" s="2">
        <v>37959449.054899998</v>
      </c>
      <c r="C348" s="2">
        <v>23772885.074499998</v>
      </c>
      <c r="D348" s="2" t="s">
        <v>5809</v>
      </c>
      <c r="E348" s="2">
        <v>2225663016.8099999</v>
      </c>
      <c r="F348" s="2">
        <v>273.82</v>
      </c>
      <c r="G348" s="2">
        <v>66282200</v>
      </c>
      <c r="H348" s="2">
        <v>2696408392.6700001</v>
      </c>
      <c r="I348" s="2">
        <v>1840.0790155</v>
      </c>
      <c r="J348" s="2">
        <v>3.27982007</v>
      </c>
      <c r="K348" s="2">
        <v>51757</v>
      </c>
      <c r="L348" s="2">
        <v>61690626.068400003</v>
      </c>
      <c r="M348" s="2" t="s">
        <v>5810</v>
      </c>
      <c r="N348" s="2">
        <v>8.2146821459999995</v>
      </c>
      <c r="O348" s="2">
        <v>2.2699999999999999E-6</v>
      </c>
      <c r="P348" s="2">
        <v>8011564</v>
      </c>
      <c r="Q348" s="2">
        <v>550</v>
      </c>
    </row>
    <row r="349" spans="1:17" x14ac:dyDescent="0.25">
      <c r="A349" s="1">
        <v>43261</v>
      </c>
      <c r="B349" s="2">
        <v>19182607.227699999</v>
      </c>
      <c r="C349" s="2">
        <v>11698149.5108</v>
      </c>
      <c r="D349" s="2" t="s">
        <v>5811</v>
      </c>
      <c r="E349" s="2">
        <v>2433855899.4499998</v>
      </c>
      <c r="F349" s="2">
        <v>299.5</v>
      </c>
      <c r="G349" s="2">
        <v>72081400</v>
      </c>
      <c r="H349" s="2">
        <v>2706537780.3699999</v>
      </c>
      <c r="I349" s="2">
        <v>1830.0422208699999</v>
      </c>
      <c r="J349" s="2">
        <v>2.0831412199999999</v>
      </c>
      <c r="K349" s="2">
        <v>45930</v>
      </c>
      <c r="L349" s="2">
        <v>58700121.2443</v>
      </c>
      <c r="M349" s="2" t="s">
        <v>5812</v>
      </c>
      <c r="N349" s="2">
        <v>8.9850898499999996</v>
      </c>
      <c r="O349" s="2">
        <v>2.2699999999999999E-6</v>
      </c>
      <c r="P349" s="2">
        <v>6781163</v>
      </c>
      <c r="Q349" s="2">
        <v>547</v>
      </c>
    </row>
    <row r="350" spans="1:17" x14ac:dyDescent="0.25">
      <c r="A350" s="1">
        <v>43260</v>
      </c>
      <c r="B350" s="2">
        <v>40086279.347599998</v>
      </c>
      <c r="C350" s="2">
        <v>29162741.933899999</v>
      </c>
      <c r="D350" s="2" t="s">
        <v>5813</v>
      </c>
      <c r="E350" s="2">
        <v>2522643519.46</v>
      </c>
      <c r="F350" s="2">
        <v>310.5</v>
      </c>
      <c r="G350" s="2">
        <v>76867504</v>
      </c>
      <c r="H350" s="2">
        <v>2708444862.0999999</v>
      </c>
      <c r="I350" s="2">
        <v>1823.3510244500001</v>
      </c>
      <c r="J350" s="2">
        <v>2.1189348099999998</v>
      </c>
      <c r="K350" s="2">
        <v>43781</v>
      </c>
      <c r="L350" s="2">
        <v>59247859.078199998</v>
      </c>
      <c r="M350" s="2" t="s">
        <v>5814</v>
      </c>
      <c r="N350" s="2">
        <v>6.5468956049999996</v>
      </c>
      <c r="O350" s="2">
        <v>2.2699999999999999E-6</v>
      </c>
      <c r="P350" s="2">
        <v>6430450</v>
      </c>
      <c r="Q350" s="2">
        <v>545</v>
      </c>
    </row>
    <row r="351" spans="1:17" x14ac:dyDescent="0.25">
      <c r="A351" s="1">
        <v>43259</v>
      </c>
      <c r="B351" s="2">
        <v>24627512.7192</v>
      </c>
      <c r="C351" s="2">
        <v>13077498.704700001</v>
      </c>
      <c r="D351" s="2" t="s">
        <v>5440</v>
      </c>
      <c r="E351" s="2">
        <v>2539499542.5100002</v>
      </c>
      <c r="F351" s="2">
        <v>312.64</v>
      </c>
      <c r="G351" s="2">
        <v>68043600</v>
      </c>
      <c r="H351" s="2">
        <v>2715187324.4299998</v>
      </c>
      <c r="I351" s="2">
        <v>1840.0790155</v>
      </c>
      <c r="J351" s="2">
        <v>2.39366558</v>
      </c>
      <c r="K351" s="2">
        <v>38141</v>
      </c>
      <c r="L351" s="2">
        <v>62669895.1998</v>
      </c>
      <c r="M351" s="2" t="s">
        <v>5815</v>
      </c>
      <c r="N351" s="2">
        <v>6.2516307264000002</v>
      </c>
      <c r="O351" s="2">
        <v>2.2699999999999999E-6</v>
      </c>
      <c r="P351" s="2">
        <v>5998072</v>
      </c>
      <c r="Q351" s="2">
        <v>550</v>
      </c>
    </row>
    <row r="352" spans="1:17" x14ac:dyDescent="0.25">
      <c r="A352" s="1">
        <v>43258</v>
      </c>
      <c r="B352" s="2">
        <v>37952817.480700001</v>
      </c>
      <c r="C352" s="2">
        <v>23949093.420600001</v>
      </c>
      <c r="D352" s="2" t="s">
        <v>5816</v>
      </c>
      <c r="E352" s="2">
        <v>2553205888.0900002</v>
      </c>
      <c r="F352" s="2">
        <v>314.39999999999998</v>
      </c>
      <c r="G352" s="2">
        <v>75098896</v>
      </c>
      <c r="H352" s="2">
        <v>2716061581.96</v>
      </c>
      <c r="I352" s="2">
        <v>1830.0422208699999</v>
      </c>
      <c r="J352" s="2">
        <v>3.3181883999999999</v>
      </c>
      <c r="K352" s="2">
        <v>38695</v>
      </c>
      <c r="L352" s="2">
        <v>62116743.302599996</v>
      </c>
      <c r="M352" s="2" t="s">
        <v>5817</v>
      </c>
      <c r="N352" s="2">
        <v>9.2602684320000002</v>
      </c>
      <c r="O352" s="2">
        <v>2.2699999999999999E-6</v>
      </c>
      <c r="P352" s="2">
        <v>6591686</v>
      </c>
      <c r="Q352" s="2">
        <v>547</v>
      </c>
    </row>
    <row r="353" spans="1:17" x14ac:dyDescent="0.25">
      <c r="A353" s="1">
        <v>43257</v>
      </c>
      <c r="B353" s="2">
        <v>40158813.473200001</v>
      </c>
      <c r="C353" s="2">
        <v>19725122.3444</v>
      </c>
      <c r="D353" s="2" t="s">
        <v>5818</v>
      </c>
      <c r="E353" s="2">
        <v>2578312911.1500001</v>
      </c>
      <c r="F353" s="2">
        <v>317.56</v>
      </c>
      <c r="G353" s="2">
        <v>75630800</v>
      </c>
      <c r="H353" s="2">
        <v>2716321250.5</v>
      </c>
      <c r="I353" s="2">
        <v>1823.3510244500001</v>
      </c>
      <c r="J353" s="2">
        <v>3.7034521800000002</v>
      </c>
      <c r="K353" s="2">
        <v>51628</v>
      </c>
      <c r="L353" s="2">
        <v>63743191.016400002</v>
      </c>
      <c r="M353" s="2" t="s">
        <v>5819</v>
      </c>
      <c r="N353" s="2">
        <v>46.801163968399997</v>
      </c>
      <c r="O353" s="2">
        <v>2.2699999999999999E-6</v>
      </c>
      <c r="P353" s="2">
        <v>8829418</v>
      </c>
      <c r="Q353" s="2">
        <v>545</v>
      </c>
    </row>
    <row r="354" spans="1:17" x14ac:dyDescent="0.25">
      <c r="A354" s="1">
        <v>43256</v>
      </c>
      <c r="B354" s="2">
        <v>22998591.062199999</v>
      </c>
      <c r="C354" s="2">
        <v>12999012.6598</v>
      </c>
      <c r="D354" s="2" t="s">
        <v>5820</v>
      </c>
      <c r="E354" s="2">
        <v>2573374196.7199998</v>
      </c>
      <c r="F354" s="2">
        <v>317.02999999999997</v>
      </c>
      <c r="G354" s="2">
        <v>79467904</v>
      </c>
      <c r="H354" s="2">
        <v>2717624242.8899999</v>
      </c>
      <c r="I354" s="2">
        <v>1843.4246137099999</v>
      </c>
      <c r="J354" s="2">
        <v>3.0968620599999999</v>
      </c>
      <c r="K354" s="2">
        <v>56228</v>
      </c>
      <c r="L354" s="2">
        <v>61540828.813299999</v>
      </c>
      <c r="M354" s="2" t="s">
        <v>5821</v>
      </c>
      <c r="N354" s="2">
        <v>62.999618264799999</v>
      </c>
      <c r="O354" s="2">
        <v>2.2699999999999999E-6</v>
      </c>
      <c r="P354" s="2">
        <v>10336647</v>
      </c>
      <c r="Q354" s="2">
        <v>551</v>
      </c>
    </row>
    <row r="355" spans="1:17" x14ac:dyDescent="0.25">
      <c r="A355" s="1">
        <v>43255</v>
      </c>
      <c r="B355" s="2">
        <v>40004714.178599998</v>
      </c>
      <c r="C355" s="2">
        <v>21839224.879299998</v>
      </c>
      <c r="D355" s="2" t="s">
        <v>5822</v>
      </c>
      <c r="E355" s="2">
        <v>2683978548.0999999</v>
      </c>
      <c r="F355" s="2">
        <v>330.73</v>
      </c>
      <c r="G355" s="2">
        <v>79868600</v>
      </c>
      <c r="H355" s="2">
        <v>2717880079.6599998</v>
      </c>
      <c r="I355" s="2">
        <v>1833.3878190800001</v>
      </c>
      <c r="J355" s="2">
        <v>2.49085431</v>
      </c>
      <c r="K355" s="2">
        <v>53513</v>
      </c>
      <c r="L355" s="2">
        <v>57545385.395300001</v>
      </c>
      <c r="M355" s="2" t="s">
        <v>5823</v>
      </c>
      <c r="N355" s="2">
        <v>42.995329949000002</v>
      </c>
      <c r="O355" s="2">
        <v>2.2699999999999999E-6</v>
      </c>
      <c r="P355" s="2">
        <v>8687683</v>
      </c>
      <c r="Q355" s="2">
        <v>548</v>
      </c>
    </row>
    <row r="356" spans="1:17" x14ac:dyDescent="0.25">
      <c r="A356" s="1">
        <v>43254</v>
      </c>
      <c r="B356" s="2">
        <v>20193606.217399999</v>
      </c>
      <c r="C356" s="2">
        <v>13232192.577099999</v>
      </c>
      <c r="D356" s="2" t="s">
        <v>5824</v>
      </c>
      <c r="E356" s="2">
        <v>2615102587.8600001</v>
      </c>
      <c r="F356" s="2">
        <v>322.31</v>
      </c>
      <c r="G356" s="2">
        <v>75377104</v>
      </c>
      <c r="H356" s="2">
        <v>2719382289.0999999</v>
      </c>
      <c r="I356" s="2">
        <v>7780.6234172900004</v>
      </c>
      <c r="J356" s="2">
        <v>3.15060004</v>
      </c>
      <c r="K356" s="2">
        <v>42455</v>
      </c>
      <c r="L356" s="2">
        <v>66316786.819399998</v>
      </c>
      <c r="M356" s="2" t="s">
        <v>5825</v>
      </c>
      <c r="N356" s="2">
        <v>6.5219364037999998</v>
      </c>
      <c r="O356" s="2">
        <v>2.2699999999999999E-6</v>
      </c>
      <c r="P356" s="2">
        <v>6633179</v>
      </c>
      <c r="Q356" s="2">
        <v>549</v>
      </c>
    </row>
    <row r="357" spans="1:17" x14ac:dyDescent="0.25">
      <c r="A357" s="1">
        <v>43253</v>
      </c>
      <c r="B357" s="2">
        <v>29987685.070599999</v>
      </c>
      <c r="C357" s="2">
        <v>15194273.2268</v>
      </c>
      <c r="D357" s="2" t="s">
        <v>5826</v>
      </c>
      <c r="E357" s="2">
        <v>2556050532.4899998</v>
      </c>
      <c r="F357" s="2">
        <v>315.33999999999997</v>
      </c>
      <c r="G357" s="2">
        <v>80244496</v>
      </c>
      <c r="H357" s="2">
        <v>2716521451.54</v>
      </c>
      <c r="I357" s="2">
        <v>1833.3878190800001</v>
      </c>
      <c r="J357" s="2">
        <v>3.4935144</v>
      </c>
      <c r="K357" s="2">
        <v>48898</v>
      </c>
      <c r="L357" s="2">
        <v>60332255.797499999</v>
      </c>
      <c r="M357" s="2" t="s">
        <v>5827</v>
      </c>
      <c r="N357" s="2">
        <v>12.641353073399999</v>
      </c>
      <c r="O357" s="2">
        <v>2.2699999999999999E-6</v>
      </c>
      <c r="P357" s="2">
        <v>7647974</v>
      </c>
      <c r="Q357" s="2">
        <v>548</v>
      </c>
    </row>
    <row r="358" spans="1:17" x14ac:dyDescent="0.25">
      <c r="A358" s="1">
        <v>43252</v>
      </c>
      <c r="B358" s="2">
        <v>27080833.938299999</v>
      </c>
      <c r="C358" s="2">
        <v>16987028.3838</v>
      </c>
      <c r="D358" s="2" t="s">
        <v>5410</v>
      </c>
      <c r="E358" s="2">
        <v>2471209336.7600002</v>
      </c>
      <c r="F358" s="2">
        <v>304.94</v>
      </c>
      <c r="G358" s="2">
        <v>82723800</v>
      </c>
      <c r="H358" s="2">
        <v>2716085951.6999998</v>
      </c>
      <c r="I358" s="2">
        <v>1830.0422208699999</v>
      </c>
      <c r="J358" s="2">
        <v>2.7861767899999998</v>
      </c>
      <c r="K358" s="2">
        <v>49096</v>
      </c>
      <c r="L358" s="2">
        <v>62520563.743600003</v>
      </c>
      <c r="M358" s="2" t="s">
        <v>5828</v>
      </c>
      <c r="N358" s="2">
        <v>8.4444106776000005</v>
      </c>
      <c r="O358" s="2">
        <v>2.2699999999999999E-6</v>
      </c>
      <c r="P358" s="2">
        <v>7682199</v>
      </c>
      <c r="Q358" s="2">
        <v>547</v>
      </c>
    </row>
    <row r="359" spans="1:17" x14ac:dyDescent="0.25">
      <c r="A359" s="1">
        <v>43251</v>
      </c>
      <c r="B359" s="2">
        <v>39083578.138300002</v>
      </c>
      <c r="C359" s="2">
        <v>21179275.3585</v>
      </c>
      <c r="D359" s="2" t="s">
        <v>5829</v>
      </c>
      <c r="E359" s="2">
        <v>2458325589.77</v>
      </c>
      <c r="F359" s="2">
        <v>303.42</v>
      </c>
      <c r="G359" s="2">
        <v>81447904</v>
      </c>
      <c r="H359" s="2">
        <v>2717501105.4299998</v>
      </c>
      <c r="I359" s="2">
        <v>1860.15260476</v>
      </c>
      <c r="J359" s="2">
        <v>3.5716807199999998</v>
      </c>
      <c r="K359" s="2">
        <v>43048</v>
      </c>
      <c r="L359" s="2">
        <v>55749683.967299998</v>
      </c>
      <c r="M359" s="2" t="s">
        <v>5830</v>
      </c>
      <c r="N359" s="2">
        <v>7.9042973256</v>
      </c>
      <c r="O359" s="2">
        <v>2.2699999999999999E-6</v>
      </c>
      <c r="P359" s="2">
        <v>6683491</v>
      </c>
      <c r="Q359" s="2">
        <v>556</v>
      </c>
    </row>
    <row r="360" spans="1:17" x14ac:dyDescent="0.25">
      <c r="A360" s="1">
        <v>43250</v>
      </c>
      <c r="B360" s="2">
        <v>80524353.228100002</v>
      </c>
      <c r="C360" s="2">
        <v>38097622.322499998</v>
      </c>
      <c r="D360" s="2" t="s">
        <v>5831</v>
      </c>
      <c r="E360" s="2">
        <v>2566866442.1700001</v>
      </c>
      <c r="F360" s="2">
        <v>316.89</v>
      </c>
      <c r="G360" s="2">
        <v>74927104</v>
      </c>
      <c r="H360" s="2">
        <v>2721563479.3299999</v>
      </c>
      <c r="I360" s="2">
        <v>1823.3510244500001</v>
      </c>
      <c r="J360" s="2">
        <v>2.95757827</v>
      </c>
      <c r="K360" s="2">
        <v>46681</v>
      </c>
      <c r="L360" s="2">
        <v>56775101.006700002</v>
      </c>
      <c r="M360" s="2" t="s">
        <v>5832</v>
      </c>
      <c r="N360" s="2">
        <v>9.4830378237000001</v>
      </c>
      <c r="O360" s="2">
        <v>2.2699999999999999E-6</v>
      </c>
      <c r="P360" s="2">
        <v>7211400</v>
      </c>
      <c r="Q360" s="2">
        <v>545</v>
      </c>
    </row>
    <row r="361" spans="1:17" x14ac:dyDescent="0.25">
      <c r="A361" s="1">
        <v>43249</v>
      </c>
      <c r="B361" s="2">
        <v>84186026.8178</v>
      </c>
      <c r="C361" s="2">
        <v>26579739.7436</v>
      </c>
      <c r="D361" s="2" t="s">
        <v>5833</v>
      </c>
      <c r="E361" s="2">
        <v>2335374428.02</v>
      </c>
      <c r="F361" s="2">
        <v>288.37</v>
      </c>
      <c r="G361" s="2">
        <v>98299696</v>
      </c>
      <c r="H361" s="2">
        <v>2725624152.79</v>
      </c>
      <c r="I361" s="2">
        <v>1816.65982803</v>
      </c>
      <c r="J361" s="2">
        <v>3.68404015</v>
      </c>
      <c r="K361" s="2">
        <v>45801</v>
      </c>
      <c r="L361" s="2">
        <v>61336753.780100003</v>
      </c>
      <c r="M361" s="2" t="s">
        <v>5834</v>
      </c>
      <c r="N361" s="2">
        <v>12.267112731299999</v>
      </c>
      <c r="O361" s="2">
        <v>2.2699999999999999E-6</v>
      </c>
      <c r="P361" s="2">
        <v>6955979</v>
      </c>
      <c r="Q361" s="2">
        <v>543</v>
      </c>
    </row>
    <row r="362" spans="1:17" x14ac:dyDescent="0.25">
      <c r="A362" s="1">
        <v>43248</v>
      </c>
      <c r="B362" s="2">
        <v>79187371.113100007</v>
      </c>
      <c r="C362" s="2">
        <v>35413690.501100004</v>
      </c>
      <c r="D362" s="2" t="s">
        <v>5835</v>
      </c>
      <c r="E362" s="2">
        <v>2558204795.48</v>
      </c>
      <c r="F362" s="2">
        <v>315.95999999999998</v>
      </c>
      <c r="G362" s="2">
        <v>84403696</v>
      </c>
      <c r="H362" s="2">
        <v>2726177436.4099998</v>
      </c>
      <c r="I362" s="2">
        <v>1843.4246137099999</v>
      </c>
      <c r="J362" s="2">
        <v>3.1273665300000002</v>
      </c>
      <c r="K362" s="2">
        <v>41694</v>
      </c>
      <c r="L362" s="2">
        <v>63649837.257299997</v>
      </c>
      <c r="M362" s="2" t="s">
        <v>5836</v>
      </c>
      <c r="N362" s="2">
        <v>13.915248073200001</v>
      </c>
      <c r="O362" s="2">
        <v>2.2699999999999999E-6</v>
      </c>
      <c r="P362" s="2">
        <v>6327697</v>
      </c>
      <c r="Q362" s="2">
        <v>551</v>
      </c>
    </row>
    <row r="363" spans="1:17" x14ac:dyDescent="0.25">
      <c r="A363" s="1">
        <v>43247</v>
      </c>
      <c r="B363" s="2">
        <v>59508927.560999997</v>
      </c>
      <c r="C363" s="2">
        <v>19981470.460499998</v>
      </c>
      <c r="D363" s="2" t="s">
        <v>5837</v>
      </c>
      <c r="E363" s="2">
        <v>2604284110.8000002</v>
      </c>
      <c r="F363" s="2">
        <v>321.72000000000003</v>
      </c>
      <c r="G363" s="2">
        <v>85613504</v>
      </c>
      <c r="H363" s="2">
        <v>2734609324.3200002</v>
      </c>
      <c r="I363" s="2">
        <v>1823.3510244500001</v>
      </c>
      <c r="J363" s="2">
        <v>2.3142589099999999</v>
      </c>
      <c r="K363" s="2">
        <v>38688</v>
      </c>
      <c r="L363" s="2">
        <v>61969558.288900003</v>
      </c>
      <c r="M363" s="2" t="s">
        <v>5838</v>
      </c>
      <c r="N363" s="2">
        <v>6.7995521999999999</v>
      </c>
      <c r="O363" s="2">
        <v>2.2699999999999999E-6</v>
      </c>
      <c r="P363" s="2">
        <v>5497289</v>
      </c>
      <c r="Q363" s="2">
        <v>545</v>
      </c>
    </row>
    <row r="364" spans="1:17" x14ac:dyDescent="0.25">
      <c r="A364" s="1">
        <v>43246</v>
      </c>
      <c r="B364" s="2">
        <v>81378601.164299995</v>
      </c>
      <c r="C364" s="2">
        <v>27906007.319400001</v>
      </c>
      <c r="D364" s="2" t="s">
        <v>5839</v>
      </c>
      <c r="E364" s="2">
        <v>2745930256.23</v>
      </c>
      <c r="F364" s="2">
        <v>339.3</v>
      </c>
      <c r="G364" s="2">
        <v>86956800</v>
      </c>
      <c r="H364" s="2">
        <v>2738340656.5300002</v>
      </c>
      <c r="I364" s="2">
        <v>1850.11581013</v>
      </c>
      <c r="J364" s="2">
        <v>2.2771957500000002</v>
      </c>
      <c r="K364" s="2">
        <v>40365</v>
      </c>
      <c r="L364" s="2">
        <v>61441894.983199999</v>
      </c>
      <c r="M364" s="2" t="s">
        <v>5840</v>
      </c>
      <c r="N364" s="2">
        <v>8.8672899510000001</v>
      </c>
      <c r="O364" s="2">
        <v>2.2699999999999999E-6</v>
      </c>
      <c r="P364" s="2">
        <v>6100236</v>
      </c>
      <c r="Q364" s="2">
        <v>553</v>
      </c>
    </row>
    <row r="365" spans="1:17" x14ac:dyDescent="0.25">
      <c r="A365" s="1">
        <v>43245</v>
      </c>
      <c r="B365" s="2">
        <v>44415294.640600003</v>
      </c>
      <c r="C365" s="2">
        <v>20615094.938999999</v>
      </c>
      <c r="D365" s="2" t="s">
        <v>5841</v>
      </c>
      <c r="E365" s="2">
        <v>2786973047.6500001</v>
      </c>
      <c r="F365" s="2">
        <v>344.45</v>
      </c>
      <c r="G365" s="2">
        <v>83410200</v>
      </c>
      <c r="H365" s="2">
        <v>2746224460.5100002</v>
      </c>
      <c r="I365" s="2">
        <v>1826.69662266</v>
      </c>
      <c r="J365" s="2">
        <v>3.5695332</v>
      </c>
      <c r="K365" s="2">
        <v>42167</v>
      </c>
      <c r="L365" s="2">
        <v>64058009.863600001</v>
      </c>
      <c r="M365" s="2" t="s">
        <v>5842</v>
      </c>
      <c r="N365" s="2">
        <v>9.4508985424999992</v>
      </c>
      <c r="O365" s="2">
        <v>2.2699999999999999E-6</v>
      </c>
      <c r="P365" s="2">
        <v>6903747</v>
      </c>
      <c r="Q365" s="2">
        <v>546</v>
      </c>
    </row>
    <row r="366" spans="1:17" x14ac:dyDescent="0.25">
      <c r="A366" s="1">
        <v>43244</v>
      </c>
      <c r="B366" s="2">
        <v>35935666.5031</v>
      </c>
      <c r="C366" s="2">
        <v>19148304.857099999</v>
      </c>
      <c r="D366" s="2" t="s">
        <v>5843</v>
      </c>
      <c r="E366" s="2">
        <v>2753778649.98</v>
      </c>
      <c r="F366" s="2">
        <v>340.42</v>
      </c>
      <c r="G366" s="2">
        <v>93794600</v>
      </c>
      <c r="H366" s="2">
        <v>2748691229.54</v>
      </c>
      <c r="I366" s="2">
        <v>1840.0790155</v>
      </c>
      <c r="J366" s="2">
        <v>3.5039672300000002</v>
      </c>
      <c r="K366" s="2">
        <v>55304</v>
      </c>
      <c r="L366" s="2">
        <v>61257220.603399999</v>
      </c>
      <c r="M366" s="2" t="s">
        <v>5844</v>
      </c>
      <c r="N366" s="2">
        <v>10.756826049800001</v>
      </c>
      <c r="O366" s="2">
        <v>2.2699999999999999E-6</v>
      </c>
      <c r="P366" s="2">
        <v>9836225</v>
      </c>
      <c r="Q366" s="2">
        <v>550</v>
      </c>
    </row>
    <row r="367" spans="1:17" x14ac:dyDescent="0.25">
      <c r="A367" s="1">
        <v>43243</v>
      </c>
      <c r="B367" s="2">
        <v>39570990.425999999</v>
      </c>
      <c r="C367" s="2">
        <v>22906248.903099999</v>
      </c>
      <c r="D367" s="2" t="s">
        <v>5845</v>
      </c>
      <c r="E367" s="2">
        <v>2915099423.6300001</v>
      </c>
      <c r="F367" s="2">
        <v>360.45</v>
      </c>
      <c r="G367" s="2">
        <v>80860800</v>
      </c>
      <c r="H367" s="2">
        <v>2752643083.8600001</v>
      </c>
      <c r="I367" s="2">
        <v>1820.0054262399999</v>
      </c>
      <c r="J367" s="2">
        <v>4.6182013800000004</v>
      </c>
      <c r="K367" s="2">
        <v>67371</v>
      </c>
      <c r="L367" s="2">
        <v>63912143.088799998</v>
      </c>
      <c r="M367" s="2" t="s">
        <v>5846</v>
      </c>
      <c r="N367" s="2">
        <v>37.384215930000003</v>
      </c>
      <c r="O367" s="2">
        <v>2.2699999999999999E-6</v>
      </c>
      <c r="P367" s="2">
        <v>14286329</v>
      </c>
      <c r="Q367" s="2">
        <v>544</v>
      </c>
    </row>
    <row r="368" spans="1:17" x14ac:dyDescent="0.25">
      <c r="A368" s="1">
        <v>43242</v>
      </c>
      <c r="B368" s="2">
        <v>24508075.400699999</v>
      </c>
      <c r="C368" s="2">
        <v>16255829.4068</v>
      </c>
      <c r="D368" s="2" t="s">
        <v>5847</v>
      </c>
      <c r="E368" s="2">
        <v>3109700702.46</v>
      </c>
      <c r="F368" s="2">
        <v>384.6</v>
      </c>
      <c r="G368" s="2">
        <v>78835696</v>
      </c>
      <c r="H368" s="2">
        <v>2755875383.6799998</v>
      </c>
      <c r="I368" s="2">
        <v>1860.15260476</v>
      </c>
      <c r="J368" s="2">
        <v>2.9842581500000001</v>
      </c>
      <c r="K368" s="2">
        <v>74581</v>
      </c>
      <c r="L368" s="2">
        <v>66188784.269299999</v>
      </c>
      <c r="M368" s="2" t="s">
        <v>5848</v>
      </c>
      <c r="N368" s="2">
        <v>20.884741500000001</v>
      </c>
      <c r="O368" s="2">
        <v>2.2699999999999999E-6</v>
      </c>
      <c r="P368" s="2">
        <v>15527672</v>
      </c>
      <c r="Q368" s="2">
        <v>556</v>
      </c>
    </row>
    <row r="369" spans="1:17" x14ac:dyDescent="0.25">
      <c r="A369" s="1">
        <v>43241</v>
      </c>
      <c r="B369" s="2">
        <v>40847793.224299997</v>
      </c>
      <c r="C369" s="2">
        <v>30942481.227699999</v>
      </c>
      <c r="D369" s="2" t="s">
        <v>5849</v>
      </c>
      <c r="E369" s="2">
        <v>3253833537.3200002</v>
      </c>
      <c r="F369" s="2">
        <v>402.51</v>
      </c>
      <c r="G369" s="2">
        <v>85493504</v>
      </c>
      <c r="H369" s="2">
        <v>2757601620.3000002</v>
      </c>
      <c r="I369" s="2">
        <v>1806.6230333999999</v>
      </c>
      <c r="J369" s="2">
        <v>2.18517603</v>
      </c>
      <c r="K369" s="2">
        <v>51464</v>
      </c>
      <c r="L369" s="2">
        <v>61846355.809500001</v>
      </c>
      <c r="M369" s="2" t="s">
        <v>5850</v>
      </c>
      <c r="N369" s="2">
        <v>16.050565236899999</v>
      </c>
      <c r="O369" s="2">
        <v>2.2699999999999999E-6</v>
      </c>
      <c r="P369" s="2">
        <v>10681348</v>
      </c>
      <c r="Q369" s="2">
        <v>540</v>
      </c>
    </row>
    <row r="370" spans="1:17" x14ac:dyDescent="0.25">
      <c r="A370" s="1">
        <v>43240</v>
      </c>
      <c r="B370" s="2">
        <v>18274736.951299999</v>
      </c>
      <c r="C370" s="2">
        <v>11147012.2294</v>
      </c>
      <c r="D370" s="2" t="s">
        <v>5851</v>
      </c>
      <c r="E370" s="2">
        <v>3126940272.1799998</v>
      </c>
      <c r="F370" s="2">
        <v>386.9</v>
      </c>
      <c r="G370" s="2">
        <v>94187200</v>
      </c>
      <c r="H370" s="2">
        <v>2758652229.2399998</v>
      </c>
      <c r="I370" s="2">
        <v>1826.69662266</v>
      </c>
      <c r="J370" s="2">
        <v>2.0359070400000001</v>
      </c>
      <c r="K370" s="2">
        <v>30148</v>
      </c>
      <c r="L370" s="2">
        <v>58129055.764600001</v>
      </c>
      <c r="M370" s="2" t="s">
        <v>5852</v>
      </c>
      <c r="N370" s="2">
        <v>28.815507247999999</v>
      </c>
      <c r="O370" s="2">
        <v>2.5500000000000001E-6</v>
      </c>
      <c r="P370" s="2">
        <v>5178304</v>
      </c>
      <c r="Q370" s="2">
        <v>546</v>
      </c>
    </row>
    <row r="371" spans="1:17" x14ac:dyDescent="0.25">
      <c r="A371" s="1">
        <v>43239</v>
      </c>
      <c r="B371" s="2">
        <v>34357503.102600001</v>
      </c>
      <c r="C371" s="2">
        <v>17978878.431200001</v>
      </c>
      <c r="D371" s="2" t="s">
        <v>5853</v>
      </c>
      <c r="E371" s="2">
        <v>3199174950.5700002</v>
      </c>
      <c r="F371" s="2">
        <v>395.93</v>
      </c>
      <c r="G371" s="2">
        <v>99795000</v>
      </c>
      <c r="H371" s="2">
        <v>2758783508.0999999</v>
      </c>
      <c r="I371" s="2">
        <v>1870.1893993900001</v>
      </c>
      <c r="J371" s="2">
        <v>1.82668041</v>
      </c>
      <c r="K371" s="2">
        <v>37510</v>
      </c>
      <c r="L371" s="2">
        <v>58713560.826800004</v>
      </c>
      <c r="M371" s="2" t="s">
        <v>5854</v>
      </c>
      <c r="N371" s="2">
        <v>12.4530635517</v>
      </c>
      <c r="O371" s="2">
        <v>2.2699999999999999E-6</v>
      </c>
      <c r="P371" s="2">
        <v>5727212</v>
      </c>
      <c r="Q371" s="2">
        <v>559</v>
      </c>
    </row>
    <row r="372" spans="1:17" x14ac:dyDescent="0.25">
      <c r="A372" s="1">
        <v>43238</v>
      </c>
      <c r="B372" s="2">
        <v>30676955.348299999</v>
      </c>
      <c r="C372" s="2">
        <v>22635841.802900001</v>
      </c>
      <c r="D372" s="2" t="s">
        <v>5855</v>
      </c>
      <c r="E372" s="2">
        <v>3134117067.6799998</v>
      </c>
      <c r="F372" s="2">
        <v>387.96</v>
      </c>
      <c r="G372" s="2">
        <v>125453000</v>
      </c>
      <c r="H372" s="2">
        <v>2758000436.2399998</v>
      </c>
      <c r="I372" s="2">
        <v>1826.69662266</v>
      </c>
      <c r="J372" s="2">
        <v>2.6552873099999998</v>
      </c>
      <c r="K372" s="2">
        <v>39625</v>
      </c>
      <c r="L372" s="2">
        <v>63210001.852899998</v>
      </c>
      <c r="M372" s="2" t="s">
        <v>5856</v>
      </c>
      <c r="N372" s="2">
        <v>11.77827162</v>
      </c>
      <c r="O372" s="2">
        <v>2.2699999999999999E-6</v>
      </c>
      <c r="P372" s="2">
        <v>6429542</v>
      </c>
      <c r="Q372" s="2">
        <v>546</v>
      </c>
    </row>
    <row r="373" spans="1:17" x14ac:dyDescent="0.25">
      <c r="A373" s="1">
        <v>43237</v>
      </c>
      <c r="B373" s="2">
        <v>64752377.795100003</v>
      </c>
      <c r="C373" s="2">
        <v>26046838.241700001</v>
      </c>
      <c r="D373" s="2" t="s">
        <v>5857</v>
      </c>
      <c r="E373" s="2">
        <v>3335856585.5999999</v>
      </c>
      <c r="F373" s="2">
        <v>413.03</v>
      </c>
      <c r="G373" s="2">
        <v>198663008</v>
      </c>
      <c r="H373" s="2">
        <v>2759198643.4400001</v>
      </c>
      <c r="I373" s="2">
        <v>1813.31422982</v>
      </c>
      <c r="J373" s="2">
        <v>2.4448349</v>
      </c>
      <c r="K373" s="2">
        <v>39464</v>
      </c>
      <c r="L373" s="2">
        <v>58293350.935800001</v>
      </c>
      <c r="M373" s="2" t="s">
        <v>5858</v>
      </c>
      <c r="N373" s="2">
        <v>11.5871931836</v>
      </c>
      <c r="O373" s="2">
        <v>2.2699999999999999E-6</v>
      </c>
      <c r="P373" s="2">
        <v>6114345</v>
      </c>
      <c r="Q373" s="2">
        <v>542</v>
      </c>
    </row>
    <row r="374" spans="1:17" x14ac:dyDescent="0.25">
      <c r="A374" s="1">
        <v>43236</v>
      </c>
      <c r="B374" s="2">
        <v>39720133.891199999</v>
      </c>
      <c r="C374" s="2">
        <v>23344697.028099999</v>
      </c>
      <c r="D374" s="2" t="s">
        <v>5859</v>
      </c>
      <c r="E374" s="2">
        <v>3466625544.54</v>
      </c>
      <c r="F374" s="2">
        <v>429.32</v>
      </c>
      <c r="G374" s="2">
        <v>177326000</v>
      </c>
      <c r="H374" s="2">
        <v>2760814041.8000002</v>
      </c>
      <c r="I374" s="2">
        <v>1830.0422208699999</v>
      </c>
      <c r="J374" s="2">
        <v>3.4429439099999999</v>
      </c>
      <c r="K374" s="2">
        <v>40456</v>
      </c>
      <c r="L374" s="2">
        <v>63989578.841300003</v>
      </c>
      <c r="M374" s="2" t="s">
        <v>5860</v>
      </c>
      <c r="N374" s="2">
        <v>10.136700279199999</v>
      </c>
      <c r="O374" s="2">
        <v>2.2699999999999999E-6</v>
      </c>
      <c r="P374" s="2">
        <v>6210571</v>
      </c>
      <c r="Q374" s="2">
        <v>547</v>
      </c>
    </row>
    <row r="375" spans="1:17" x14ac:dyDescent="0.25">
      <c r="A375" s="1">
        <v>43235</v>
      </c>
      <c r="B375" s="2">
        <v>53890428.189900003</v>
      </c>
      <c r="C375" s="2">
        <v>32900103.3314</v>
      </c>
      <c r="D375" s="2" t="s">
        <v>5861</v>
      </c>
      <c r="E375" s="2">
        <v>3488929843.3400002</v>
      </c>
      <c r="F375" s="2">
        <v>432.18</v>
      </c>
      <c r="G375" s="2">
        <v>174088000</v>
      </c>
      <c r="H375" s="2">
        <v>2760791019.9000001</v>
      </c>
      <c r="I375" s="2">
        <v>1860.15260476</v>
      </c>
      <c r="J375" s="2">
        <v>3.89987431</v>
      </c>
      <c r="K375" s="2">
        <v>42590</v>
      </c>
      <c r="L375" s="2">
        <v>60572013.928800002</v>
      </c>
      <c r="M375" s="2" t="s">
        <v>5862</v>
      </c>
      <c r="N375" s="2">
        <v>14.6666592828</v>
      </c>
      <c r="O375" s="2">
        <v>2.2699999999999999E-6</v>
      </c>
      <c r="P375" s="2">
        <v>6639789</v>
      </c>
      <c r="Q375" s="2">
        <v>556</v>
      </c>
    </row>
    <row r="376" spans="1:17" x14ac:dyDescent="0.25">
      <c r="A376" s="1">
        <v>43234</v>
      </c>
      <c r="B376" s="2">
        <v>43253989.800499998</v>
      </c>
      <c r="C376" s="2">
        <v>30109321.3323</v>
      </c>
      <c r="D376" s="2" t="s">
        <v>5863</v>
      </c>
      <c r="E376" s="2">
        <v>3361508931.4899998</v>
      </c>
      <c r="F376" s="2">
        <v>416.49</v>
      </c>
      <c r="G376" s="2">
        <v>157680992</v>
      </c>
      <c r="H376" s="2">
        <v>2759371596.96</v>
      </c>
      <c r="I376" s="2">
        <v>1803.27743519</v>
      </c>
      <c r="J376" s="2">
        <v>4.1826823900000001</v>
      </c>
      <c r="K376" s="2">
        <v>44349</v>
      </c>
      <c r="L376" s="2">
        <v>65295619.656000003</v>
      </c>
      <c r="M376" s="2" t="s">
        <v>5864</v>
      </c>
      <c r="N376" s="2">
        <v>16.659766596000001</v>
      </c>
      <c r="O376" s="2">
        <v>2.2699999999999999E-6</v>
      </c>
      <c r="P376" s="2">
        <v>7451718</v>
      </c>
      <c r="Q376" s="2">
        <v>539</v>
      </c>
    </row>
    <row r="377" spans="1:17" x14ac:dyDescent="0.25">
      <c r="A377" s="1">
        <v>43233</v>
      </c>
      <c r="B377" s="2">
        <v>34168831.556999996</v>
      </c>
      <c r="C377" s="2">
        <v>24071432.366999999</v>
      </c>
      <c r="D377" s="2" t="s">
        <v>5865</v>
      </c>
      <c r="E377" s="2">
        <v>3260879708.1300001</v>
      </c>
      <c r="F377" s="2">
        <v>404.11</v>
      </c>
      <c r="G377" s="2">
        <v>99754096</v>
      </c>
      <c r="H377" s="2">
        <v>2758859314.9499998</v>
      </c>
      <c r="I377" s="2">
        <v>1843.4246137099999</v>
      </c>
      <c r="J377" s="2">
        <v>2.2075852500000002</v>
      </c>
      <c r="K377" s="2">
        <v>36960</v>
      </c>
      <c r="L377" s="2">
        <v>62437559.215300001</v>
      </c>
      <c r="M377" s="2" t="s">
        <v>5866</v>
      </c>
      <c r="N377" s="2">
        <v>11.396815288599999</v>
      </c>
      <c r="O377" s="2">
        <v>2.2699999999999999E-6</v>
      </c>
      <c r="P377" s="2">
        <v>5658111</v>
      </c>
      <c r="Q377" s="2">
        <v>551</v>
      </c>
    </row>
    <row r="378" spans="1:17" x14ac:dyDescent="0.25">
      <c r="A378" s="1">
        <v>43232</v>
      </c>
      <c r="B378" s="2">
        <v>23058143.256099999</v>
      </c>
      <c r="C378" s="2">
        <v>13173734.338300001</v>
      </c>
      <c r="D378" s="2" t="s">
        <v>5867</v>
      </c>
      <c r="E378" s="2">
        <v>3140154196.75</v>
      </c>
      <c r="F378" s="2">
        <v>389.24</v>
      </c>
      <c r="G378" s="2">
        <v>77808896</v>
      </c>
      <c r="H378" s="2">
        <v>2758000884.8200002</v>
      </c>
      <c r="I378" s="2">
        <v>1843.4246137099999</v>
      </c>
      <c r="J378" s="2">
        <v>3.0046539299999999</v>
      </c>
      <c r="K378" s="2">
        <v>47529</v>
      </c>
      <c r="L378" s="2">
        <v>62639057.657499999</v>
      </c>
      <c r="M378" s="2" t="s">
        <v>5868</v>
      </c>
      <c r="N378" s="2">
        <v>9.5089969659999998</v>
      </c>
      <c r="O378" s="2">
        <v>1.0000000000000001E-5</v>
      </c>
      <c r="P378" s="2">
        <v>7105049</v>
      </c>
      <c r="Q378" s="2">
        <v>551</v>
      </c>
    </row>
    <row r="379" spans="1:17" x14ac:dyDescent="0.25">
      <c r="A379" s="1">
        <v>43231</v>
      </c>
      <c r="B379" s="2">
        <v>53207553.346900001</v>
      </c>
      <c r="C379" s="2">
        <v>31707612.170600001</v>
      </c>
      <c r="D379" s="2" t="s">
        <v>5869</v>
      </c>
      <c r="E379" s="2">
        <v>3400504248.48</v>
      </c>
      <c r="F379" s="2">
        <v>421.61</v>
      </c>
      <c r="G379" s="2">
        <v>108972000</v>
      </c>
      <c r="H379" s="2">
        <v>2757812616.5700002</v>
      </c>
      <c r="I379" s="2">
        <v>1840.0790155</v>
      </c>
      <c r="J379" s="2">
        <v>4.1031492299999996</v>
      </c>
      <c r="K379" s="2">
        <v>49352</v>
      </c>
      <c r="L379" s="2">
        <v>70764636.517199993</v>
      </c>
      <c r="M379" s="2" t="s">
        <v>5870</v>
      </c>
      <c r="N379" s="2">
        <v>16.864568643999998</v>
      </c>
      <c r="O379" s="2">
        <v>2.2699999999999999E-6</v>
      </c>
      <c r="P379" s="2">
        <v>7700751</v>
      </c>
      <c r="Q379" s="2">
        <v>550</v>
      </c>
    </row>
    <row r="380" spans="1:17" x14ac:dyDescent="0.25">
      <c r="A380" s="1">
        <v>43230</v>
      </c>
      <c r="B380" s="2">
        <v>31696677.586399999</v>
      </c>
      <c r="C380" s="2">
        <v>20168894.2245</v>
      </c>
      <c r="D380" s="2" t="s">
        <v>5871</v>
      </c>
      <c r="E380" s="2">
        <v>3573459664.1399999</v>
      </c>
      <c r="F380" s="2">
        <v>443.15</v>
      </c>
      <c r="G380" s="2">
        <v>100427000</v>
      </c>
      <c r="H380" s="2">
        <v>2760541129.8600001</v>
      </c>
      <c r="I380" s="2">
        <v>1823.3510244500001</v>
      </c>
      <c r="J380" s="2">
        <v>3.9855783900000001</v>
      </c>
      <c r="K380" s="2">
        <v>44336</v>
      </c>
      <c r="L380" s="2">
        <v>67368645.731999993</v>
      </c>
      <c r="M380" s="2" t="s">
        <v>5872</v>
      </c>
      <c r="N380" s="2">
        <v>14.153360151999999</v>
      </c>
      <c r="O380" s="2">
        <v>2.2699999999999999E-6</v>
      </c>
      <c r="P380" s="2">
        <v>7126130</v>
      </c>
      <c r="Q380" s="2">
        <v>545</v>
      </c>
    </row>
    <row r="381" spans="1:17" x14ac:dyDescent="0.25">
      <c r="A381" s="1">
        <v>43229</v>
      </c>
      <c r="B381" s="2">
        <v>35868506.380599998</v>
      </c>
      <c r="C381" s="2">
        <v>21635525.356199998</v>
      </c>
      <c r="D381" s="2" t="s">
        <v>5873</v>
      </c>
      <c r="E381" s="2">
        <v>3572442682.8299999</v>
      </c>
      <c r="F381" s="2">
        <v>443.13</v>
      </c>
      <c r="G381" s="2">
        <v>102561000</v>
      </c>
      <c r="H381" s="2">
        <v>2760891773.0100002</v>
      </c>
      <c r="I381" s="2">
        <v>1850.11581013</v>
      </c>
      <c r="J381" s="2">
        <v>3.8215679499999999</v>
      </c>
      <c r="K381" s="2">
        <v>33960</v>
      </c>
      <c r="L381" s="2">
        <v>59627281.806299999</v>
      </c>
      <c r="M381" s="2" t="s">
        <v>5874</v>
      </c>
      <c r="N381" s="2">
        <v>13.294032938999999</v>
      </c>
      <c r="O381" s="2">
        <v>2.2699999999999999E-6</v>
      </c>
      <c r="P381" s="2">
        <v>5483355</v>
      </c>
      <c r="Q381" s="2">
        <v>553</v>
      </c>
    </row>
    <row r="382" spans="1:17" x14ac:dyDescent="0.25">
      <c r="A382" s="1">
        <v>43228</v>
      </c>
      <c r="B382" s="2">
        <v>31283610.0832</v>
      </c>
      <c r="C382" s="2">
        <v>20023275.0414</v>
      </c>
      <c r="D382" s="2" t="s">
        <v>5875</v>
      </c>
      <c r="E382" s="2">
        <v>3697628553.5100002</v>
      </c>
      <c r="F382" s="2">
        <v>458.76</v>
      </c>
      <c r="G382" s="2">
        <v>98776400</v>
      </c>
      <c r="H382" s="2">
        <v>2760521062.9899998</v>
      </c>
      <c r="I382" s="2">
        <v>1816.65982803</v>
      </c>
      <c r="J382" s="2">
        <v>5.4509237300000004</v>
      </c>
      <c r="K382" s="2">
        <v>47480</v>
      </c>
      <c r="L382" s="2">
        <v>67597178.268399999</v>
      </c>
      <c r="M382" s="2" t="s">
        <v>5876</v>
      </c>
      <c r="N382" s="2">
        <v>17.301335157600001</v>
      </c>
      <c r="O382" s="2">
        <v>2.2699999999999999E-6</v>
      </c>
      <c r="P382" s="2">
        <v>7236402</v>
      </c>
      <c r="Q382" s="2">
        <v>543</v>
      </c>
    </row>
    <row r="383" spans="1:17" x14ac:dyDescent="0.25">
      <c r="A383" s="1">
        <v>43227</v>
      </c>
      <c r="B383" s="2">
        <v>75827959.583199993</v>
      </c>
      <c r="C383" s="2">
        <v>38957914.020199999</v>
      </c>
      <c r="D383" s="2" t="s">
        <v>5877</v>
      </c>
      <c r="E383" s="2">
        <v>3914198390.46</v>
      </c>
      <c r="F383" s="2">
        <v>485.74</v>
      </c>
      <c r="G383" s="2">
        <v>108330000</v>
      </c>
      <c r="H383" s="2">
        <v>2760538661.25</v>
      </c>
      <c r="I383" s="2">
        <v>1850.11581013</v>
      </c>
      <c r="J383" s="2">
        <v>7.4647077199999998</v>
      </c>
      <c r="K383" s="2">
        <v>49840</v>
      </c>
      <c r="L383" s="2">
        <v>68729947.071500003</v>
      </c>
      <c r="M383" s="2" t="s">
        <v>5878</v>
      </c>
      <c r="N383" s="2">
        <v>25.277875598200001</v>
      </c>
      <c r="O383" s="2">
        <v>2.2699999999999999E-6</v>
      </c>
      <c r="P383" s="2">
        <v>7892518</v>
      </c>
      <c r="Q383" s="2">
        <v>553</v>
      </c>
    </row>
    <row r="384" spans="1:17" x14ac:dyDescent="0.25">
      <c r="A384" s="1">
        <v>43226</v>
      </c>
      <c r="B384" s="2">
        <v>48203512.1831</v>
      </c>
      <c r="C384" s="2">
        <v>22939669.131099999</v>
      </c>
      <c r="D384" s="2" t="s">
        <v>5879</v>
      </c>
      <c r="E384" s="2">
        <v>4077053670.0999999</v>
      </c>
      <c r="F384" s="2">
        <v>506.06</v>
      </c>
      <c r="G384" s="2">
        <v>97449000</v>
      </c>
      <c r="H384" s="2">
        <v>2762869928.7800002</v>
      </c>
      <c r="I384" s="2">
        <v>1836.73341729</v>
      </c>
      <c r="J384" s="2">
        <v>5.3884158700000002</v>
      </c>
      <c r="K384" s="2">
        <v>45769</v>
      </c>
      <c r="L384" s="2">
        <v>71701773.261299998</v>
      </c>
      <c r="M384" s="2" t="s">
        <v>5880</v>
      </c>
      <c r="N384" s="2">
        <v>22.3539404106</v>
      </c>
      <c r="O384" s="2">
        <v>2.2699999999999999E-6</v>
      </c>
      <c r="P384" s="2">
        <v>7350127</v>
      </c>
      <c r="Q384" s="2">
        <v>549</v>
      </c>
    </row>
    <row r="385" spans="1:17" x14ac:dyDescent="0.25">
      <c r="A385" s="1">
        <v>43225</v>
      </c>
      <c r="B385" s="2">
        <v>49021972.5986</v>
      </c>
      <c r="C385" s="2">
        <v>21642486.433699999</v>
      </c>
      <c r="D385" s="2" t="s">
        <v>5881</v>
      </c>
      <c r="E385" s="2">
        <v>3917145175.9899998</v>
      </c>
      <c r="F385" s="2">
        <v>486.32</v>
      </c>
      <c r="G385" s="2">
        <v>113858000</v>
      </c>
      <c r="H385" s="2">
        <v>2762553157.7800002</v>
      </c>
      <c r="I385" s="2">
        <v>1840.0790155</v>
      </c>
      <c r="J385" s="2">
        <v>6.5323504300000002</v>
      </c>
      <c r="K385" s="2">
        <v>51363</v>
      </c>
      <c r="L385" s="2">
        <v>70397787.883200005</v>
      </c>
      <c r="M385" s="2" t="s">
        <v>5882</v>
      </c>
      <c r="N385" s="2">
        <v>24.344162791199999</v>
      </c>
      <c r="O385" s="2">
        <v>2.2699999999999999E-6</v>
      </c>
      <c r="P385" s="2">
        <v>9272086</v>
      </c>
      <c r="Q385" s="2">
        <v>550</v>
      </c>
    </row>
    <row r="386" spans="1:17" x14ac:dyDescent="0.25">
      <c r="A386" s="1">
        <v>43224</v>
      </c>
      <c r="B386" s="2">
        <v>96755900.336799994</v>
      </c>
      <c r="C386" s="2">
        <v>34882445.136699997</v>
      </c>
      <c r="D386" s="2" t="s">
        <v>5883</v>
      </c>
      <c r="E386" s="2">
        <v>4047981993.9499998</v>
      </c>
      <c r="F386" s="2">
        <v>502.68</v>
      </c>
      <c r="G386" s="2">
        <v>150130000</v>
      </c>
      <c r="H386" s="2">
        <v>2760938346.0700002</v>
      </c>
      <c r="I386" s="2">
        <v>1816.65982803</v>
      </c>
      <c r="J386" s="2">
        <v>6.4216827900000002</v>
      </c>
      <c r="K386" s="2">
        <v>49923</v>
      </c>
      <c r="L386" s="2">
        <v>69755885.936700001</v>
      </c>
      <c r="M386" s="2" t="s">
        <v>5884</v>
      </c>
      <c r="N386" s="2">
        <v>45.241652412000001</v>
      </c>
      <c r="O386" s="2">
        <v>3.7400000000000002E-6</v>
      </c>
      <c r="P386" s="2">
        <v>9336207</v>
      </c>
      <c r="Q386" s="2">
        <v>543</v>
      </c>
    </row>
    <row r="387" spans="1:17" x14ac:dyDescent="0.25">
      <c r="A387" s="1">
        <v>43223</v>
      </c>
      <c r="B387" s="2">
        <v>113025045.46600001</v>
      </c>
      <c r="C387" s="2">
        <v>56196500.833499998</v>
      </c>
      <c r="D387" s="2" t="s">
        <v>5885</v>
      </c>
      <c r="E387" s="2">
        <v>3876994272.3899999</v>
      </c>
      <c r="F387" s="2">
        <v>481.56</v>
      </c>
      <c r="G387" s="2">
        <v>124091000</v>
      </c>
      <c r="H387" s="2">
        <v>2760228609.9699998</v>
      </c>
      <c r="I387" s="2">
        <v>7735.3678190800001</v>
      </c>
      <c r="J387" s="2">
        <v>7.4121091400000001</v>
      </c>
      <c r="K387" s="2">
        <v>51057</v>
      </c>
      <c r="L387" s="2">
        <v>74845676.615199998</v>
      </c>
      <c r="M387" s="2" t="s">
        <v>5886</v>
      </c>
      <c r="N387" s="2">
        <v>38.525185248</v>
      </c>
      <c r="O387" s="2">
        <v>2.2699999999999999E-6</v>
      </c>
      <c r="P387" s="2">
        <v>8909763</v>
      </c>
      <c r="Q387" s="2">
        <v>548</v>
      </c>
    </row>
    <row r="388" spans="1:17" x14ac:dyDescent="0.25">
      <c r="A388" s="1">
        <v>43222</v>
      </c>
      <c r="B388" s="2">
        <v>75072812.457000002</v>
      </c>
      <c r="C388" s="2">
        <v>28192111.520399999</v>
      </c>
      <c r="D388" s="2" t="s">
        <v>5887</v>
      </c>
      <c r="E388" s="2">
        <v>3846021377.2199998</v>
      </c>
      <c r="F388" s="2">
        <v>478.17</v>
      </c>
      <c r="G388" s="2">
        <v>129694000</v>
      </c>
      <c r="H388" s="2">
        <v>2756374626.27</v>
      </c>
      <c r="I388" s="2">
        <v>1836.73341729</v>
      </c>
      <c r="J388" s="2">
        <v>5.6910236000000003</v>
      </c>
      <c r="K388" s="2">
        <v>42590</v>
      </c>
      <c r="L388" s="2">
        <v>71195430.376300007</v>
      </c>
      <c r="M388" s="2" t="s">
        <v>5888</v>
      </c>
      <c r="N388" s="2">
        <v>16.729341690599998</v>
      </c>
      <c r="O388" s="2">
        <v>2.2699999999999999E-6</v>
      </c>
      <c r="P388" s="2">
        <v>6793776</v>
      </c>
      <c r="Q388" s="2">
        <v>549</v>
      </c>
    </row>
    <row r="389" spans="1:17" x14ac:dyDescent="0.25">
      <c r="A389" s="1">
        <v>43221</v>
      </c>
      <c r="B389" s="2">
        <v>56162085.790899999</v>
      </c>
      <c r="C389" s="2">
        <v>35978223.947099999</v>
      </c>
      <c r="D389" s="2" t="s">
        <v>5889</v>
      </c>
      <c r="E389" s="2">
        <v>3804833577.5799999</v>
      </c>
      <c r="F389" s="2">
        <v>473.16</v>
      </c>
      <c r="G389" s="2">
        <v>101299000</v>
      </c>
      <c r="H389" s="2">
        <v>2754511658.25</v>
      </c>
      <c r="I389" s="2">
        <v>1863.49820297</v>
      </c>
      <c r="J389" s="2">
        <v>6.3991835699999999</v>
      </c>
      <c r="K389" s="2">
        <v>49310</v>
      </c>
      <c r="L389" s="2">
        <v>65783808.743699998</v>
      </c>
      <c r="M389" s="2" t="s">
        <v>5890</v>
      </c>
      <c r="N389" s="2">
        <v>20.6870330916</v>
      </c>
      <c r="O389" s="2">
        <v>2.2699999999999999E-6</v>
      </c>
      <c r="P389" s="2">
        <v>8860666</v>
      </c>
      <c r="Q389" s="2">
        <v>557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D71AC-DF1E-4550-8200-2742DC0E874C}">
  <dimension ref="A1:F389"/>
  <sheetViews>
    <sheetView workbookViewId="0">
      <selection activeCell="A2" sqref="A2:A389"/>
    </sheetView>
  </sheetViews>
  <sheetFormatPr defaultRowHeight="15" x14ac:dyDescent="0.25"/>
  <cols>
    <col min="1" max="1" width="10.140625" bestFit="1" customWidth="1"/>
    <col min="2" max="2" width="7.5703125" bestFit="1" customWidth="1"/>
    <col min="3" max="3" width="9.85546875" bestFit="1" customWidth="1"/>
    <col min="4" max="4" width="7.42578125" bestFit="1" customWidth="1"/>
    <col min="5" max="5" width="12.28515625" bestFit="1" customWidth="1"/>
    <col min="6" max="6" width="7" bestFit="1" customWidth="1"/>
  </cols>
  <sheetData>
    <row r="1" spans="1:6" x14ac:dyDescent="0.25">
      <c r="A1" s="4" t="s">
        <v>2207</v>
      </c>
      <c r="B1" s="4" t="s">
        <v>6208</v>
      </c>
      <c r="C1" s="4" t="s">
        <v>6207</v>
      </c>
      <c r="D1" s="4" t="s">
        <v>6209</v>
      </c>
      <c r="E1" s="4" t="s">
        <v>6210</v>
      </c>
      <c r="F1" s="4" t="s">
        <v>6211</v>
      </c>
    </row>
    <row r="2" spans="1:6" x14ac:dyDescent="0.25">
      <c r="A2" s="1">
        <v>43608</v>
      </c>
      <c r="B2" s="2">
        <v>7677.27</v>
      </c>
      <c r="C2" s="2">
        <v>244.67</v>
      </c>
      <c r="D2" s="2">
        <v>88.2</v>
      </c>
      <c r="E2">
        <v>391.52</v>
      </c>
      <c r="F2" s="2">
        <v>154.80000000000001</v>
      </c>
    </row>
    <row r="3" spans="1:6" x14ac:dyDescent="0.25">
      <c r="A3" s="1">
        <v>43607</v>
      </c>
      <c r="B3" s="2">
        <v>7956.29</v>
      </c>
      <c r="C3" s="2">
        <v>255</v>
      </c>
      <c r="D3" s="2">
        <v>91.51</v>
      </c>
      <c r="E3">
        <v>417.31</v>
      </c>
      <c r="F3" s="2">
        <v>166.65</v>
      </c>
    </row>
    <row r="4" spans="1:6" x14ac:dyDescent="0.25">
      <c r="A4" s="1">
        <v>43606</v>
      </c>
      <c r="B4" s="2">
        <v>7977.97</v>
      </c>
      <c r="C4" s="2">
        <v>251.65</v>
      </c>
      <c r="D4" s="2">
        <v>91.57</v>
      </c>
      <c r="E4">
        <v>412.52</v>
      </c>
      <c r="F4" s="2">
        <v>167.74</v>
      </c>
    </row>
    <row r="5" spans="1:6" x14ac:dyDescent="0.25">
      <c r="A5" s="1">
        <v>43605</v>
      </c>
      <c r="B5" s="2">
        <v>8196.92</v>
      </c>
      <c r="C5" s="2">
        <v>261.27</v>
      </c>
      <c r="D5" s="2">
        <v>95.34</v>
      </c>
      <c r="E5">
        <v>421.38</v>
      </c>
      <c r="F5" s="2">
        <v>169.83</v>
      </c>
    </row>
    <row r="6" spans="1:6" x14ac:dyDescent="0.25">
      <c r="A6" s="1">
        <v>43604</v>
      </c>
      <c r="B6" s="2">
        <v>7267.96</v>
      </c>
      <c r="C6" s="2">
        <v>234.45</v>
      </c>
      <c r="D6" s="2">
        <v>86.68</v>
      </c>
      <c r="E6">
        <v>357.31</v>
      </c>
      <c r="F6" s="2">
        <v>140.4</v>
      </c>
    </row>
    <row r="7" spans="1:6" x14ac:dyDescent="0.25">
      <c r="A7" s="1">
        <v>43603</v>
      </c>
      <c r="B7" s="2">
        <v>7341.66</v>
      </c>
      <c r="C7" s="2">
        <v>243.91</v>
      </c>
      <c r="D7" s="2">
        <v>89.01</v>
      </c>
      <c r="E7">
        <v>364.45</v>
      </c>
      <c r="F7" s="2">
        <v>138.13999999999999</v>
      </c>
    </row>
    <row r="8" spans="1:6" x14ac:dyDescent="0.25">
      <c r="A8" s="1">
        <v>43602</v>
      </c>
      <c r="B8" s="2">
        <v>7886.93</v>
      </c>
      <c r="C8" s="2">
        <v>263.85000000000002</v>
      </c>
      <c r="D8" s="2">
        <v>95.63</v>
      </c>
      <c r="E8">
        <v>398.68</v>
      </c>
      <c r="F8" s="2">
        <v>148.78</v>
      </c>
    </row>
    <row r="9" spans="1:6" x14ac:dyDescent="0.25">
      <c r="A9" s="1">
        <v>43601</v>
      </c>
      <c r="B9" s="2">
        <v>8194.5</v>
      </c>
      <c r="C9" s="2">
        <v>246.94</v>
      </c>
      <c r="D9" s="2">
        <v>101.57</v>
      </c>
      <c r="E9">
        <v>402.44</v>
      </c>
      <c r="F9" s="2">
        <v>152.35</v>
      </c>
    </row>
    <row r="10" spans="1:6" x14ac:dyDescent="0.25">
      <c r="A10" s="1">
        <v>43600</v>
      </c>
      <c r="B10" s="2">
        <v>7989.37</v>
      </c>
      <c r="C10" s="2">
        <v>217.01</v>
      </c>
      <c r="D10" s="2">
        <v>91.66</v>
      </c>
      <c r="E10">
        <v>389.12</v>
      </c>
      <c r="F10" s="2">
        <v>141.44999999999999</v>
      </c>
    </row>
    <row r="11" spans="1:6" x14ac:dyDescent="0.25">
      <c r="A11" s="1">
        <v>43599</v>
      </c>
      <c r="B11" s="2">
        <v>7807.88</v>
      </c>
      <c r="C11" s="2">
        <v>196.74</v>
      </c>
      <c r="D11" s="2">
        <v>88.05</v>
      </c>
      <c r="E11">
        <v>385.37</v>
      </c>
      <c r="F11" s="2">
        <v>131.77000000000001</v>
      </c>
    </row>
    <row r="12" spans="1:6" x14ac:dyDescent="0.25">
      <c r="A12" s="1">
        <v>43598</v>
      </c>
      <c r="B12" s="2">
        <v>6971.18</v>
      </c>
      <c r="C12" s="2">
        <v>187.42</v>
      </c>
      <c r="D12" s="2">
        <v>84.63</v>
      </c>
      <c r="E12">
        <v>354.03</v>
      </c>
      <c r="F12" s="2">
        <v>124.27</v>
      </c>
    </row>
    <row r="13" spans="1:6" x14ac:dyDescent="0.25">
      <c r="A13" s="1">
        <v>43597</v>
      </c>
      <c r="B13" s="2">
        <v>7203.51</v>
      </c>
      <c r="C13" s="2">
        <v>194.16</v>
      </c>
      <c r="D13" s="2">
        <v>89.54</v>
      </c>
      <c r="E13">
        <v>356.27</v>
      </c>
      <c r="F13" s="2">
        <v>124.12</v>
      </c>
    </row>
    <row r="14" spans="1:6" x14ac:dyDescent="0.25">
      <c r="A14" s="1">
        <v>43596</v>
      </c>
      <c r="B14" s="2">
        <v>6379.67</v>
      </c>
      <c r="C14" s="2">
        <v>173.14</v>
      </c>
      <c r="D14" s="2">
        <v>77.16</v>
      </c>
      <c r="E14">
        <v>287.79000000000002</v>
      </c>
      <c r="F14" s="2">
        <v>112.82</v>
      </c>
    </row>
    <row r="15" spans="1:6" x14ac:dyDescent="0.25">
      <c r="A15" s="1">
        <v>43595</v>
      </c>
      <c r="B15" s="2">
        <v>6175.82</v>
      </c>
      <c r="C15" s="2">
        <v>170.31</v>
      </c>
      <c r="D15" s="2">
        <v>74.19</v>
      </c>
      <c r="E15">
        <v>284.2</v>
      </c>
      <c r="F15" s="2">
        <v>112.38</v>
      </c>
    </row>
    <row r="16" spans="1:6" x14ac:dyDescent="0.25">
      <c r="A16" s="1">
        <v>43594</v>
      </c>
      <c r="B16" s="2">
        <v>5982.32</v>
      </c>
      <c r="C16" s="2">
        <v>170.95</v>
      </c>
      <c r="D16" s="2">
        <v>74.59</v>
      </c>
      <c r="E16">
        <v>286.47000000000003</v>
      </c>
      <c r="F16" s="2">
        <v>118.02</v>
      </c>
    </row>
    <row r="17" spans="1:6" x14ac:dyDescent="0.25">
      <c r="A17" s="1">
        <v>43593</v>
      </c>
      <c r="B17" s="2">
        <v>5849.48</v>
      </c>
      <c r="C17" s="2">
        <v>169.9</v>
      </c>
      <c r="D17" s="2">
        <v>74.650000000000006</v>
      </c>
      <c r="E17">
        <v>286.55</v>
      </c>
      <c r="F17" s="2">
        <v>117.51</v>
      </c>
    </row>
    <row r="18" spans="1:6" x14ac:dyDescent="0.25">
      <c r="A18" s="1">
        <v>43592</v>
      </c>
      <c r="B18" s="2">
        <v>5745.6</v>
      </c>
      <c r="C18" s="2">
        <v>172.43</v>
      </c>
      <c r="D18" s="2">
        <v>74.98</v>
      </c>
      <c r="E18">
        <v>287.68</v>
      </c>
      <c r="F18" s="2">
        <v>120.4</v>
      </c>
    </row>
    <row r="19" spans="1:6" x14ac:dyDescent="0.25">
      <c r="A19" s="1">
        <v>43591</v>
      </c>
      <c r="B19" s="2">
        <v>5791.69</v>
      </c>
      <c r="C19" s="2">
        <v>163.34</v>
      </c>
      <c r="D19" s="2">
        <v>76.03</v>
      </c>
      <c r="E19">
        <v>293.95999999999998</v>
      </c>
      <c r="F19" s="2">
        <v>119.29</v>
      </c>
    </row>
    <row r="20" spans="1:6" x14ac:dyDescent="0.25">
      <c r="A20" s="1">
        <v>43590</v>
      </c>
      <c r="B20" s="2">
        <v>5831.07</v>
      </c>
      <c r="C20" s="2">
        <v>164.02</v>
      </c>
      <c r="D20" s="2">
        <v>78</v>
      </c>
      <c r="E20">
        <v>291.35000000000002</v>
      </c>
      <c r="F20" s="2">
        <v>120.72</v>
      </c>
    </row>
    <row r="21" spans="1:6" x14ac:dyDescent="0.25">
      <c r="A21" s="1">
        <v>43589</v>
      </c>
      <c r="B21" s="2">
        <v>5769.2</v>
      </c>
      <c r="C21" s="2">
        <v>167.89</v>
      </c>
      <c r="D21" s="2">
        <v>79.31</v>
      </c>
      <c r="E21">
        <v>292.88</v>
      </c>
      <c r="F21" s="2">
        <v>121.03</v>
      </c>
    </row>
    <row r="22" spans="1:6" x14ac:dyDescent="0.25">
      <c r="A22" s="1">
        <v>43588</v>
      </c>
      <c r="B22" s="2">
        <v>5505.55</v>
      </c>
      <c r="C22" s="2">
        <v>162.08000000000001</v>
      </c>
      <c r="D22" s="2">
        <v>73.760000000000005</v>
      </c>
      <c r="E22">
        <v>270.14999999999998</v>
      </c>
      <c r="F22" s="2">
        <v>117.24</v>
      </c>
    </row>
    <row r="23" spans="1:6" x14ac:dyDescent="0.25">
      <c r="A23" s="1">
        <v>43587</v>
      </c>
      <c r="B23" s="2">
        <v>5402.42</v>
      </c>
      <c r="C23" s="2">
        <v>160.85</v>
      </c>
      <c r="D23" s="2">
        <v>73.680000000000007</v>
      </c>
      <c r="E23">
        <v>271.97000000000003</v>
      </c>
      <c r="F23" s="2">
        <v>117.2</v>
      </c>
    </row>
    <row r="24" spans="1:6" x14ac:dyDescent="0.25">
      <c r="A24" s="1">
        <v>43586</v>
      </c>
      <c r="B24" s="2">
        <v>5350.91</v>
      </c>
      <c r="C24" s="2">
        <v>162.19</v>
      </c>
      <c r="D24" s="2">
        <v>74.3</v>
      </c>
      <c r="E24">
        <v>267.99</v>
      </c>
      <c r="F24" s="2">
        <v>111.83</v>
      </c>
    </row>
    <row r="25" spans="1:6" x14ac:dyDescent="0.25">
      <c r="A25" s="1">
        <v>43585</v>
      </c>
      <c r="B25" s="2">
        <v>5247.73</v>
      </c>
      <c r="C25" s="2">
        <v>155.16999999999999</v>
      </c>
      <c r="D25" s="2">
        <v>67.95</v>
      </c>
      <c r="E25" s="2">
        <v>237.57</v>
      </c>
      <c r="F25" s="2">
        <v>108.13</v>
      </c>
    </row>
    <row r="26" spans="1:6" x14ac:dyDescent="0.25">
      <c r="A26" s="1">
        <v>43584</v>
      </c>
      <c r="B26" s="2">
        <v>5284.86</v>
      </c>
      <c r="C26" s="2">
        <v>157.29</v>
      </c>
      <c r="D26" s="2">
        <v>69.78</v>
      </c>
      <c r="E26" s="2">
        <v>255.55</v>
      </c>
      <c r="F26" s="2">
        <v>110.29</v>
      </c>
    </row>
    <row r="27" spans="1:6" x14ac:dyDescent="0.25">
      <c r="A27" s="1">
        <v>43583</v>
      </c>
      <c r="B27" s="2">
        <v>5271.75</v>
      </c>
      <c r="C27" s="2">
        <v>158.5</v>
      </c>
      <c r="D27" s="2">
        <v>72.12</v>
      </c>
      <c r="E27" s="2">
        <v>264.12</v>
      </c>
      <c r="F27" s="2">
        <v>109.67</v>
      </c>
    </row>
    <row r="28" spans="1:6" x14ac:dyDescent="0.25">
      <c r="A28" s="1">
        <v>43582</v>
      </c>
      <c r="B28" s="2">
        <v>5279.47</v>
      </c>
      <c r="C28" s="2">
        <v>156.27000000000001</v>
      </c>
      <c r="D28" s="2">
        <v>73.209999999999994</v>
      </c>
      <c r="E28" s="2">
        <v>264.08999999999997</v>
      </c>
      <c r="F28" s="2">
        <v>109.49</v>
      </c>
    </row>
    <row r="29" spans="1:6" x14ac:dyDescent="0.25">
      <c r="A29" s="1">
        <v>43581</v>
      </c>
      <c r="B29" s="2">
        <v>5210.3</v>
      </c>
      <c r="C29" s="2">
        <v>154.58000000000001</v>
      </c>
      <c r="D29" s="2">
        <v>71.36</v>
      </c>
      <c r="E29" s="2">
        <v>267.19</v>
      </c>
      <c r="F29" s="2">
        <v>108.74</v>
      </c>
    </row>
    <row r="30" spans="1:6" x14ac:dyDescent="0.25">
      <c r="A30" s="1">
        <v>43580</v>
      </c>
      <c r="B30" s="2">
        <v>5466.52</v>
      </c>
      <c r="C30" s="2">
        <v>165.91</v>
      </c>
      <c r="D30" s="2">
        <v>73.25</v>
      </c>
      <c r="E30" s="2">
        <v>279.20999999999998</v>
      </c>
      <c r="F30" s="2">
        <v>115.42</v>
      </c>
    </row>
    <row r="31" spans="1:6" x14ac:dyDescent="0.25">
      <c r="A31" s="1">
        <v>43579</v>
      </c>
      <c r="B31" s="2">
        <v>5571.51</v>
      </c>
      <c r="C31" s="2">
        <v>171.35</v>
      </c>
      <c r="D31" s="2">
        <v>74.75</v>
      </c>
      <c r="E31" s="2">
        <v>290.95999999999998</v>
      </c>
      <c r="F31" s="2">
        <v>118.74</v>
      </c>
    </row>
    <row r="32" spans="1:6" x14ac:dyDescent="0.25">
      <c r="A32" s="1">
        <v>43578</v>
      </c>
      <c r="B32" s="2">
        <v>5399.37</v>
      </c>
      <c r="C32" s="2">
        <v>172.01</v>
      </c>
      <c r="D32" s="2">
        <v>76.849999999999994</v>
      </c>
      <c r="E32" s="2">
        <v>292.79000000000002</v>
      </c>
      <c r="F32" s="2">
        <v>122.72</v>
      </c>
    </row>
    <row r="33" spans="1:6" x14ac:dyDescent="0.25">
      <c r="A33" s="1">
        <v>43577</v>
      </c>
      <c r="B33" s="2">
        <v>5312.49</v>
      </c>
      <c r="C33" s="2">
        <v>170.02</v>
      </c>
      <c r="D33" s="2">
        <v>77.290000000000006</v>
      </c>
      <c r="E33" s="2">
        <v>290.33999999999997</v>
      </c>
      <c r="F33" s="2">
        <v>121.58</v>
      </c>
    </row>
    <row r="34" spans="1:6" x14ac:dyDescent="0.25">
      <c r="A34" s="1">
        <v>43576</v>
      </c>
      <c r="B34" s="2">
        <v>5335.88</v>
      </c>
      <c r="C34" s="2">
        <v>173.72</v>
      </c>
      <c r="D34" s="2">
        <v>81.52</v>
      </c>
      <c r="E34" s="2">
        <v>300.81</v>
      </c>
      <c r="F34" s="2">
        <v>123.59</v>
      </c>
    </row>
    <row r="35" spans="1:6" x14ac:dyDescent="0.25">
      <c r="A35" s="1">
        <v>43575</v>
      </c>
      <c r="B35" s="2">
        <v>5304.16</v>
      </c>
      <c r="C35" s="2">
        <v>173.72</v>
      </c>
      <c r="D35" s="2">
        <v>82.55</v>
      </c>
      <c r="E35" s="2">
        <v>306.86</v>
      </c>
      <c r="F35" s="2">
        <v>123.05</v>
      </c>
    </row>
    <row r="36" spans="1:6" x14ac:dyDescent="0.25">
      <c r="A36" s="1">
        <v>43574</v>
      </c>
      <c r="B36" s="2">
        <v>5298.15</v>
      </c>
      <c r="C36" s="2">
        <v>173.79</v>
      </c>
      <c r="D36" s="2">
        <v>82.1</v>
      </c>
      <c r="E36" s="2">
        <v>306.93</v>
      </c>
      <c r="F36" s="2">
        <v>124.37</v>
      </c>
    </row>
    <row r="37" spans="1:6" x14ac:dyDescent="0.25">
      <c r="A37" s="1">
        <v>43573</v>
      </c>
      <c r="B37" s="2">
        <v>5251.48</v>
      </c>
      <c r="C37" s="2">
        <v>166.91</v>
      </c>
      <c r="D37" s="2">
        <v>79.39</v>
      </c>
      <c r="E37" s="2">
        <v>310.87</v>
      </c>
      <c r="F37" s="2">
        <v>120.6</v>
      </c>
    </row>
    <row r="38" spans="1:6" x14ac:dyDescent="0.25">
      <c r="A38" s="1">
        <v>43572</v>
      </c>
      <c r="B38" s="2">
        <v>5236.1400000000003</v>
      </c>
      <c r="C38" s="2">
        <v>167.55</v>
      </c>
      <c r="D38" s="2">
        <v>81.349999999999994</v>
      </c>
      <c r="E38" s="2">
        <v>318.31</v>
      </c>
      <c r="F38" s="2">
        <v>121.54</v>
      </c>
    </row>
    <row r="39" spans="1:6" x14ac:dyDescent="0.25">
      <c r="A39" s="1">
        <v>43571</v>
      </c>
      <c r="B39" s="2">
        <v>5066.58</v>
      </c>
      <c r="C39" s="2">
        <v>161.53</v>
      </c>
      <c r="D39" s="2">
        <v>79.040000000000006</v>
      </c>
      <c r="E39" s="2">
        <v>314.12</v>
      </c>
      <c r="F39" s="2">
        <v>119.31</v>
      </c>
    </row>
    <row r="40" spans="1:6" x14ac:dyDescent="0.25">
      <c r="A40" s="1">
        <v>43570</v>
      </c>
      <c r="B40" s="2">
        <v>5167.32</v>
      </c>
      <c r="C40" s="2">
        <v>167.9</v>
      </c>
      <c r="D40" s="2">
        <v>83.01</v>
      </c>
      <c r="E40" s="2">
        <v>288.7</v>
      </c>
      <c r="F40" s="2">
        <v>123.23</v>
      </c>
    </row>
    <row r="41" spans="1:6" x14ac:dyDescent="0.25">
      <c r="A41" s="1">
        <v>43569</v>
      </c>
      <c r="B41" s="2">
        <v>5095.76</v>
      </c>
      <c r="C41" s="2">
        <v>164.48</v>
      </c>
      <c r="D41" s="2">
        <v>78.2</v>
      </c>
      <c r="E41" s="2">
        <v>279.41000000000003</v>
      </c>
      <c r="F41" s="2">
        <v>120.13</v>
      </c>
    </row>
    <row r="42" spans="1:6" x14ac:dyDescent="0.25">
      <c r="A42" s="1">
        <v>43568</v>
      </c>
      <c r="B42" s="2">
        <v>5088.8500000000004</v>
      </c>
      <c r="C42" s="2">
        <v>164.62</v>
      </c>
      <c r="D42" s="2">
        <v>78.95</v>
      </c>
      <c r="E42" s="2">
        <v>282.68</v>
      </c>
      <c r="F42" s="2">
        <v>119.59</v>
      </c>
    </row>
    <row r="43" spans="1:6" x14ac:dyDescent="0.25">
      <c r="A43" s="1">
        <v>43567</v>
      </c>
      <c r="B43" s="2">
        <v>5061.2</v>
      </c>
      <c r="C43" s="2">
        <v>165.34</v>
      </c>
      <c r="D43" s="2">
        <v>79.63</v>
      </c>
      <c r="E43" s="2">
        <v>272.64</v>
      </c>
      <c r="F43" s="2">
        <v>123.14</v>
      </c>
    </row>
    <row r="44" spans="1:6" x14ac:dyDescent="0.25">
      <c r="A44" s="1">
        <v>43566</v>
      </c>
      <c r="B44" s="2">
        <v>5325.08</v>
      </c>
      <c r="C44" s="2">
        <v>177.34</v>
      </c>
      <c r="D44" s="2">
        <v>88.39</v>
      </c>
      <c r="E44" s="2">
        <v>305.12</v>
      </c>
      <c r="F44" s="2">
        <v>130.08000000000001</v>
      </c>
    </row>
    <row r="45" spans="1:6" x14ac:dyDescent="0.25">
      <c r="A45" s="1">
        <v>43565</v>
      </c>
      <c r="B45" s="2">
        <v>5204.1099999999997</v>
      </c>
      <c r="C45" s="2">
        <v>176.07</v>
      </c>
      <c r="D45" s="2">
        <v>86.77</v>
      </c>
      <c r="E45" s="2">
        <v>295.97000000000003</v>
      </c>
      <c r="F45" s="2">
        <v>132.36000000000001</v>
      </c>
    </row>
    <row r="46" spans="1:6" x14ac:dyDescent="0.25">
      <c r="A46" s="1">
        <v>43564</v>
      </c>
      <c r="B46" s="2">
        <v>5289.92</v>
      </c>
      <c r="C46" s="2">
        <v>180.22</v>
      </c>
      <c r="D46" s="2">
        <v>89.5</v>
      </c>
      <c r="E46" s="2">
        <v>309.95</v>
      </c>
      <c r="F46" s="2">
        <v>136.33000000000001</v>
      </c>
    </row>
    <row r="47" spans="1:6" x14ac:dyDescent="0.25">
      <c r="A47" s="1">
        <v>43563</v>
      </c>
      <c r="B47" s="2">
        <v>5199.84</v>
      </c>
      <c r="C47" s="2">
        <v>174.45</v>
      </c>
      <c r="D47" s="2">
        <v>92.33</v>
      </c>
      <c r="E47" s="2">
        <v>319.77</v>
      </c>
      <c r="F47" s="2">
        <v>135.28</v>
      </c>
    </row>
    <row r="48" spans="1:6" x14ac:dyDescent="0.25">
      <c r="A48" s="1">
        <v>43562</v>
      </c>
      <c r="B48" s="2">
        <v>5062.79</v>
      </c>
      <c r="C48" s="2">
        <v>165.98</v>
      </c>
      <c r="D48" s="2">
        <v>92.42</v>
      </c>
      <c r="E48" s="2">
        <v>305.8</v>
      </c>
      <c r="F48" s="2">
        <v>130.88999999999999</v>
      </c>
    </row>
    <row r="49" spans="1:6" x14ac:dyDescent="0.25">
      <c r="A49" s="1">
        <v>43561</v>
      </c>
      <c r="B49" s="2">
        <v>5036.79</v>
      </c>
      <c r="C49" s="2">
        <v>165.51</v>
      </c>
      <c r="D49" s="2">
        <v>88.71</v>
      </c>
      <c r="E49" s="2">
        <v>292.81</v>
      </c>
      <c r="F49" s="2">
        <v>132.77000000000001</v>
      </c>
    </row>
    <row r="50" spans="1:6" x14ac:dyDescent="0.25">
      <c r="A50" s="1">
        <v>43560</v>
      </c>
      <c r="B50" s="2">
        <v>4922.8100000000004</v>
      </c>
      <c r="C50" s="2">
        <v>158.02000000000001</v>
      </c>
      <c r="D50" s="2">
        <v>85.04</v>
      </c>
      <c r="E50" s="2">
        <v>286.64</v>
      </c>
      <c r="F50" s="2">
        <v>123.85</v>
      </c>
    </row>
    <row r="51" spans="1:6" x14ac:dyDescent="0.25">
      <c r="A51" s="1">
        <v>43559</v>
      </c>
      <c r="B51" s="2">
        <v>4971.3100000000004</v>
      </c>
      <c r="C51" s="2">
        <v>161.43</v>
      </c>
      <c r="D51" s="2">
        <v>85.17</v>
      </c>
      <c r="E51" s="2">
        <v>298.47000000000003</v>
      </c>
      <c r="F51" s="2">
        <v>124.87</v>
      </c>
    </row>
    <row r="52" spans="1:6" x14ac:dyDescent="0.25">
      <c r="A52" s="1">
        <v>43558</v>
      </c>
      <c r="B52" s="2">
        <v>4879.96</v>
      </c>
      <c r="C52" s="2">
        <v>164.01</v>
      </c>
      <c r="D52" s="2">
        <v>76.260000000000005</v>
      </c>
      <c r="E52" s="2">
        <v>236.4</v>
      </c>
      <c r="F52" s="2">
        <v>124.73</v>
      </c>
    </row>
    <row r="53" spans="1:6" x14ac:dyDescent="0.25">
      <c r="A53" s="1">
        <v>43557</v>
      </c>
      <c r="B53" s="2">
        <v>4156.92</v>
      </c>
      <c r="C53" s="2">
        <v>141.84</v>
      </c>
      <c r="D53" s="2">
        <v>60.7</v>
      </c>
      <c r="E53" s="2">
        <v>167.63</v>
      </c>
      <c r="F53" s="2">
        <v>113.07</v>
      </c>
    </row>
    <row r="54" spans="1:6" x14ac:dyDescent="0.25">
      <c r="A54" s="1">
        <v>43556</v>
      </c>
      <c r="B54" s="2">
        <v>4105.3599999999997</v>
      </c>
      <c r="C54" s="2">
        <v>141.47</v>
      </c>
      <c r="D54" s="2">
        <v>60.77</v>
      </c>
      <c r="E54" s="2">
        <v>168.9</v>
      </c>
      <c r="F54" s="2">
        <v>108.14</v>
      </c>
    </row>
    <row r="55" spans="1:6" x14ac:dyDescent="0.25">
      <c r="A55" s="1">
        <v>43555</v>
      </c>
      <c r="B55" s="2">
        <v>4105.46</v>
      </c>
      <c r="C55" s="2">
        <v>142.13999999999999</v>
      </c>
      <c r="D55" s="2">
        <v>60.64</v>
      </c>
      <c r="E55" s="2">
        <v>168.64</v>
      </c>
      <c r="F55" s="2">
        <v>99.97</v>
      </c>
    </row>
    <row r="56" spans="1:6" x14ac:dyDescent="0.25">
      <c r="A56" s="1">
        <v>43554</v>
      </c>
      <c r="B56" s="2">
        <v>4092.14</v>
      </c>
      <c r="C56" s="2">
        <v>142.36000000000001</v>
      </c>
      <c r="D56" s="2">
        <v>61.25</v>
      </c>
      <c r="E56" s="2">
        <v>170.3</v>
      </c>
      <c r="F56" s="2">
        <v>97.96</v>
      </c>
    </row>
    <row r="57" spans="1:6" x14ac:dyDescent="0.25">
      <c r="A57" s="1">
        <v>43553</v>
      </c>
      <c r="B57" s="2">
        <v>4068.3</v>
      </c>
      <c r="C57" s="2">
        <v>139.34</v>
      </c>
      <c r="D57" s="2">
        <v>61.17</v>
      </c>
      <c r="E57" s="2">
        <v>169.35</v>
      </c>
      <c r="F57" s="2">
        <v>97</v>
      </c>
    </row>
    <row r="58" spans="1:6" x14ac:dyDescent="0.25">
      <c r="A58" s="1">
        <v>43552</v>
      </c>
      <c r="B58" s="2">
        <v>4087.58</v>
      </c>
      <c r="C58" s="2">
        <v>141.01</v>
      </c>
      <c r="D58" s="2">
        <v>62.22</v>
      </c>
      <c r="E58" s="2">
        <v>173.1</v>
      </c>
      <c r="F58" s="2">
        <v>95.44</v>
      </c>
    </row>
    <row r="59" spans="1:6" x14ac:dyDescent="0.25">
      <c r="A59" s="1">
        <v>43551</v>
      </c>
      <c r="B59" s="2">
        <v>3984.24</v>
      </c>
      <c r="C59" s="2">
        <v>135.44999999999999</v>
      </c>
      <c r="D59" s="2">
        <v>59.41</v>
      </c>
      <c r="E59" s="2">
        <v>160.51</v>
      </c>
      <c r="F59" s="2">
        <v>89.86</v>
      </c>
    </row>
    <row r="60" spans="1:6" x14ac:dyDescent="0.25">
      <c r="A60" s="1">
        <v>43550</v>
      </c>
      <c r="B60" s="2">
        <v>3969.23</v>
      </c>
      <c r="C60" s="2">
        <v>135.05000000000001</v>
      </c>
      <c r="D60" s="2">
        <v>59.51</v>
      </c>
      <c r="E60" s="2">
        <v>161.38999999999999</v>
      </c>
      <c r="F60" s="2">
        <v>90.06</v>
      </c>
    </row>
    <row r="61" spans="1:6" x14ac:dyDescent="0.25">
      <c r="A61" s="1">
        <v>43549</v>
      </c>
      <c r="B61" s="2">
        <v>4024.11</v>
      </c>
      <c r="C61" s="2">
        <v>137.08000000000001</v>
      </c>
      <c r="D61" s="2">
        <v>60.3</v>
      </c>
      <c r="E61" s="2">
        <v>166.11</v>
      </c>
      <c r="F61" s="2">
        <v>92.74</v>
      </c>
    </row>
    <row r="62" spans="1:6" x14ac:dyDescent="0.25">
      <c r="A62" s="1">
        <v>43548</v>
      </c>
      <c r="B62" s="2">
        <v>4035.16</v>
      </c>
      <c r="C62" s="2">
        <v>138.32</v>
      </c>
      <c r="D62" s="2">
        <v>61.24</v>
      </c>
      <c r="E62" s="2">
        <v>167.09</v>
      </c>
      <c r="F62" s="2">
        <v>92.66</v>
      </c>
    </row>
    <row r="63" spans="1:6" x14ac:dyDescent="0.25">
      <c r="A63" s="1">
        <v>43547</v>
      </c>
      <c r="B63" s="2">
        <v>4022.71</v>
      </c>
      <c r="C63" s="2">
        <v>137.04</v>
      </c>
      <c r="D63" s="2">
        <v>59.79</v>
      </c>
      <c r="E63" s="2">
        <v>158.13</v>
      </c>
      <c r="F63" s="2">
        <v>91.49</v>
      </c>
    </row>
    <row r="64" spans="1:6" x14ac:dyDescent="0.25">
      <c r="A64" s="1">
        <v>43546</v>
      </c>
      <c r="B64" s="2">
        <v>4028.51</v>
      </c>
      <c r="C64" s="2">
        <v>136.56</v>
      </c>
      <c r="D64" s="2">
        <v>59.3</v>
      </c>
      <c r="E64" s="2">
        <v>154.71</v>
      </c>
      <c r="F64" s="2">
        <v>91.12</v>
      </c>
    </row>
    <row r="65" spans="1:6" x14ac:dyDescent="0.25">
      <c r="A65" s="1">
        <v>43545</v>
      </c>
      <c r="B65" s="2">
        <v>4083.95</v>
      </c>
      <c r="C65" s="2">
        <v>140.47999999999999</v>
      </c>
      <c r="D65" s="2">
        <v>60.87</v>
      </c>
      <c r="E65" s="2">
        <v>160.79</v>
      </c>
      <c r="F65" s="2">
        <v>93.76</v>
      </c>
    </row>
    <row r="66" spans="1:6" x14ac:dyDescent="0.25">
      <c r="A66" s="1">
        <v>43544</v>
      </c>
      <c r="B66" s="2">
        <v>4070.79</v>
      </c>
      <c r="C66" s="2">
        <v>140.47999999999999</v>
      </c>
      <c r="D66" s="2">
        <v>60.68</v>
      </c>
      <c r="E66" s="2">
        <v>162.33000000000001</v>
      </c>
      <c r="F66" s="2">
        <v>92.42</v>
      </c>
    </row>
    <row r="67" spans="1:6" x14ac:dyDescent="0.25">
      <c r="A67" s="1">
        <v>43543</v>
      </c>
      <c r="B67" s="2">
        <v>4032.69</v>
      </c>
      <c r="C67" s="2">
        <v>139.25</v>
      </c>
      <c r="D67" s="2">
        <v>60.22</v>
      </c>
      <c r="E67" s="2">
        <v>162.6</v>
      </c>
      <c r="F67" s="2">
        <v>92.46</v>
      </c>
    </row>
    <row r="68" spans="1:6" x14ac:dyDescent="0.25">
      <c r="A68" s="1">
        <v>43542</v>
      </c>
      <c r="B68" s="2">
        <v>4029.97</v>
      </c>
      <c r="C68" s="2">
        <v>140.1</v>
      </c>
      <c r="D68" s="2">
        <v>61.28</v>
      </c>
      <c r="E68" s="2">
        <v>156.26</v>
      </c>
      <c r="F68" s="2">
        <v>93.65</v>
      </c>
    </row>
    <row r="69" spans="1:6" x14ac:dyDescent="0.25">
      <c r="A69" s="1">
        <v>43541</v>
      </c>
      <c r="B69" s="2">
        <v>4047.72</v>
      </c>
      <c r="C69" s="2">
        <v>142.24</v>
      </c>
      <c r="D69" s="2">
        <v>61.88</v>
      </c>
      <c r="E69" s="2">
        <v>157.44</v>
      </c>
      <c r="F69" s="2">
        <v>93.03</v>
      </c>
    </row>
    <row r="70" spans="1:6" x14ac:dyDescent="0.25">
      <c r="A70" s="1">
        <v>43540</v>
      </c>
      <c r="B70" s="2">
        <v>3963.9</v>
      </c>
      <c r="C70" s="2">
        <v>137.91</v>
      </c>
      <c r="D70" s="2">
        <v>58.99</v>
      </c>
      <c r="E70" s="2">
        <v>143.97999999999999</v>
      </c>
      <c r="F70" s="2">
        <v>90.87</v>
      </c>
    </row>
    <row r="71" spans="1:6" x14ac:dyDescent="0.25">
      <c r="A71" s="1">
        <v>43539</v>
      </c>
      <c r="B71" s="2">
        <v>3926.66</v>
      </c>
      <c r="C71" s="2">
        <v>133.57</v>
      </c>
      <c r="D71" s="2">
        <v>56.54</v>
      </c>
      <c r="E71" s="2">
        <v>133.79</v>
      </c>
      <c r="F71" s="2">
        <v>89.96</v>
      </c>
    </row>
    <row r="72" spans="1:6" x14ac:dyDescent="0.25">
      <c r="A72" s="1">
        <v>43538</v>
      </c>
      <c r="B72" s="2">
        <v>3905.58</v>
      </c>
      <c r="C72" s="2">
        <v>133.19999999999999</v>
      </c>
      <c r="D72" s="2">
        <v>55.86</v>
      </c>
      <c r="E72" s="2">
        <v>128.82</v>
      </c>
      <c r="F72" s="2">
        <v>91.29</v>
      </c>
    </row>
    <row r="73" spans="1:6" x14ac:dyDescent="0.25">
      <c r="A73" s="1">
        <v>43537</v>
      </c>
      <c r="B73" s="2">
        <v>3913.05</v>
      </c>
      <c r="C73" s="2">
        <v>134.61000000000001</v>
      </c>
      <c r="D73" s="2">
        <v>57.08</v>
      </c>
      <c r="E73" s="2">
        <v>129.19</v>
      </c>
      <c r="F73" s="2">
        <v>92.24</v>
      </c>
    </row>
    <row r="74" spans="1:6" x14ac:dyDescent="0.25">
      <c r="A74" s="1">
        <v>43536</v>
      </c>
      <c r="B74" s="2">
        <v>3903.76</v>
      </c>
      <c r="C74" s="2">
        <v>134.01</v>
      </c>
      <c r="D74" s="2">
        <v>55.41</v>
      </c>
      <c r="E74" s="2">
        <v>130.35</v>
      </c>
      <c r="F74" s="2">
        <v>84.28</v>
      </c>
    </row>
    <row r="75" spans="1:6" x14ac:dyDescent="0.25">
      <c r="A75" s="1">
        <v>43535</v>
      </c>
      <c r="B75" s="2">
        <v>3953.74</v>
      </c>
      <c r="C75" s="2">
        <v>136.85</v>
      </c>
      <c r="D75" s="2">
        <v>57.19</v>
      </c>
      <c r="E75" s="2">
        <v>132.86000000000001</v>
      </c>
      <c r="F75" s="2">
        <v>83.88</v>
      </c>
    </row>
    <row r="76" spans="1:6" x14ac:dyDescent="0.25">
      <c r="A76" s="1">
        <v>43534</v>
      </c>
      <c r="B76" s="2">
        <v>3966.17</v>
      </c>
      <c r="C76" s="2">
        <v>138.18</v>
      </c>
      <c r="D76" s="2">
        <v>58.1</v>
      </c>
      <c r="E76" s="2">
        <v>134.04</v>
      </c>
      <c r="F76" s="2">
        <v>84.33</v>
      </c>
    </row>
    <row r="77" spans="1:6" x14ac:dyDescent="0.25">
      <c r="A77" s="1">
        <v>43533</v>
      </c>
      <c r="B77" s="2">
        <v>3894.55</v>
      </c>
      <c r="C77" s="2">
        <v>134.88999999999999</v>
      </c>
      <c r="D77" s="2">
        <v>56</v>
      </c>
      <c r="E77" s="2">
        <v>129.41999999999999</v>
      </c>
      <c r="F77" s="2">
        <v>81.56</v>
      </c>
    </row>
    <row r="78" spans="1:6" x14ac:dyDescent="0.25">
      <c r="A78" s="1">
        <v>43532</v>
      </c>
      <c r="B78" s="2">
        <v>3913.23</v>
      </c>
      <c r="C78" s="2">
        <v>138.31</v>
      </c>
      <c r="D78" s="2">
        <v>57.44</v>
      </c>
      <c r="E78" s="2">
        <v>132.21</v>
      </c>
      <c r="F78" s="2">
        <v>83.69</v>
      </c>
    </row>
    <row r="79" spans="1:6" x14ac:dyDescent="0.25">
      <c r="A79" s="1">
        <v>43531</v>
      </c>
      <c r="B79" s="2">
        <v>3903.38</v>
      </c>
      <c r="C79" s="2">
        <v>138.94</v>
      </c>
      <c r="D79" s="2">
        <v>55.84</v>
      </c>
      <c r="E79" s="2">
        <v>133.29</v>
      </c>
      <c r="F79" s="2">
        <v>84.15</v>
      </c>
    </row>
    <row r="80" spans="1:6" x14ac:dyDescent="0.25">
      <c r="A80" s="1">
        <v>43530</v>
      </c>
      <c r="B80" s="2">
        <v>3897.08</v>
      </c>
      <c r="C80" s="2">
        <v>137.96</v>
      </c>
      <c r="D80" s="2">
        <v>53.02</v>
      </c>
      <c r="E80" s="2">
        <v>133.41</v>
      </c>
      <c r="F80" s="2">
        <v>83.88</v>
      </c>
    </row>
    <row r="81" spans="1:6" x14ac:dyDescent="0.25">
      <c r="A81" s="1">
        <v>43529</v>
      </c>
      <c r="B81" s="2">
        <v>3759.83</v>
      </c>
      <c r="C81" s="2">
        <v>127.79</v>
      </c>
      <c r="D81" s="2">
        <v>46.52</v>
      </c>
      <c r="E81" s="2">
        <v>124.96</v>
      </c>
      <c r="F81" s="2">
        <v>79.900000000000006</v>
      </c>
    </row>
    <row r="82" spans="1:6" x14ac:dyDescent="0.25">
      <c r="A82" s="1">
        <v>43528</v>
      </c>
      <c r="B82" s="2">
        <v>3845.09</v>
      </c>
      <c r="C82" s="2">
        <v>132.16</v>
      </c>
      <c r="D82" s="2">
        <v>48.33</v>
      </c>
      <c r="E82" s="2">
        <v>131.41999999999999</v>
      </c>
      <c r="F82" s="2">
        <v>82.32</v>
      </c>
    </row>
    <row r="83" spans="1:6" x14ac:dyDescent="0.25">
      <c r="A83" s="1">
        <v>43527</v>
      </c>
      <c r="B83" s="2">
        <v>3862.27</v>
      </c>
      <c r="C83" s="2">
        <v>134.79</v>
      </c>
      <c r="D83" s="2">
        <v>49.02</v>
      </c>
      <c r="E83" s="2">
        <v>132.57</v>
      </c>
      <c r="F83" s="2">
        <v>83.21</v>
      </c>
    </row>
    <row r="84" spans="1:6" x14ac:dyDescent="0.25">
      <c r="A84" s="1">
        <v>43526</v>
      </c>
      <c r="B84" s="2">
        <v>3855.32</v>
      </c>
      <c r="C84" s="2">
        <v>136.35</v>
      </c>
      <c r="D84" s="2">
        <v>47.48</v>
      </c>
      <c r="E84" s="2">
        <v>132.91999999999999</v>
      </c>
      <c r="F84" s="2">
        <v>83.32</v>
      </c>
    </row>
    <row r="85" spans="1:6" x14ac:dyDescent="0.25">
      <c r="A85" s="1">
        <v>43525</v>
      </c>
      <c r="B85" s="2">
        <v>3853.76</v>
      </c>
      <c r="C85" s="2">
        <v>136.84</v>
      </c>
      <c r="D85" s="2">
        <v>46.24</v>
      </c>
      <c r="E85" s="2">
        <v>132.08000000000001</v>
      </c>
      <c r="F85" s="2">
        <v>83.41</v>
      </c>
    </row>
    <row r="86" spans="1:6" x14ac:dyDescent="0.25">
      <c r="A86" s="1">
        <v>43524</v>
      </c>
      <c r="B86" s="2">
        <v>3848.26</v>
      </c>
      <c r="C86" s="2">
        <v>136.28</v>
      </c>
      <c r="D86" s="2">
        <v>45.62</v>
      </c>
      <c r="E86" s="2">
        <v>132.9</v>
      </c>
      <c r="F86" s="2">
        <v>82.46</v>
      </c>
    </row>
    <row r="87" spans="1:6" x14ac:dyDescent="0.25">
      <c r="A87" s="1">
        <v>43523</v>
      </c>
      <c r="B87" s="2">
        <v>3857.48</v>
      </c>
      <c r="C87" s="2">
        <v>138.03</v>
      </c>
      <c r="D87" s="2">
        <v>45.5</v>
      </c>
      <c r="E87" s="2">
        <v>134.33000000000001</v>
      </c>
      <c r="F87" s="2">
        <v>83.18</v>
      </c>
    </row>
    <row r="88" spans="1:6" x14ac:dyDescent="0.25">
      <c r="A88" s="1">
        <v>43522</v>
      </c>
      <c r="B88" s="2">
        <v>3878.7</v>
      </c>
      <c r="C88" s="2">
        <v>139.65</v>
      </c>
      <c r="D88" s="2">
        <v>46.18</v>
      </c>
      <c r="E88" s="2">
        <v>135.84</v>
      </c>
      <c r="F88" s="2">
        <v>83.97</v>
      </c>
    </row>
    <row r="89" spans="1:6" x14ac:dyDescent="0.25">
      <c r="A89" s="1">
        <v>43521</v>
      </c>
      <c r="B89" s="2">
        <v>3807</v>
      </c>
      <c r="C89" s="2">
        <v>135.5</v>
      </c>
      <c r="D89" s="2">
        <v>44.58</v>
      </c>
      <c r="E89" s="2">
        <v>130.02000000000001</v>
      </c>
      <c r="F89" s="2">
        <v>81.44</v>
      </c>
    </row>
    <row r="90" spans="1:6" x14ac:dyDescent="0.25">
      <c r="A90" s="1">
        <v>43520</v>
      </c>
      <c r="B90" s="2">
        <v>4145.46</v>
      </c>
      <c r="C90" s="2">
        <v>158.9</v>
      </c>
      <c r="D90" s="2">
        <v>51.68</v>
      </c>
      <c r="E90" s="2">
        <v>154.19999999999999</v>
      </c>
      <c r="F90" s="2">
        <v>90.13</v>
      </c>
    </row>
    <row r="91" spans="1:6" x14ac:dyDescent="0.25">
      <c r="A91" s="1">
        <v>43519</v>
      </c>
      <c r="B91" s="2">
        <v>3998.92</v>
      </c>
      <c r="C91" s="2">
        <v>148.68</v>
      </c>
      <c r="D91" s="2">
        <v>49.67</v>
      </c>
      <c r="E91" s="2">
        <v>144.88</v>
      </c>
      <c r="F91" s="2">
        <v>86.67</v>
      </c>
    </row>
    <row r="92" spans="1:6" x14ac:dyDescent="0.25">
      <c r="A92" s="1">
        <v>43518</v>
      </c>
      <c r="B92" s="2">
        <v>3952.41</v>
      </c>
      <c r="C92" s="2">
        <v>146.07</v>
      </c>
      <c r="D92" s="2">
        <v>49.13</v>
      </c>
      <c r="E92" s="2">
        <v>142.82</v>
      </c>
      <c r="F92" s="2">
        <v>85.6</v>
      </c>
    </row>
    <row r="93" spans="1:6" x14ac:dyDescent="0.25">
      <c r="A93" s="1">
        <v>43517</v>
      </c>
      <c r="B93" s="2">
        <v>4000.26</v>
      </c>
      <c r="C93" s="2">
        <v>149.35</v>
      </c>
      <c r="D93" s="2">
        <v>51.84</v>
      </c>
      <c r="E93" s="2">
        <v>147.91999999999999</v>
      </c>
      <c r="F93" s="2">
        <v>87.97</v>
      </c>
    </row>
    <row r="94" spans="1:6" x14ac:dyDescent="0.25">
      <c r="A94" s="1">
        <v>43516</v>
      </c>
      <c r="B94" s="2">
        <v>3946.68</v>
      </c>
      <c r="C94" s="2">
        <v>145.16999999999999</v>
      </c>
      <c r="D94" s="2">
        <v>47.82</v>
      </c>
      <c r="E94" s="2">
        <v>142.97</v>
      </c>
      <c r="F94" s="2">
        <v>88.22</v>
      </c>
    </row>
    <row r="95" spans="1:6" x14ac:dyDescent="0.25">
      <c r="A95" s="1">
        <v>43515</v>
      </c>
      <c r="B95" s="2">
        <v>3911.66</v>
      </c>
      <c r="C95" s="2">
        <v>146.4</v>
      </c>
      <c r="D95" s="2">
        <v>48.14</v>
      </c>
      <c r="E95" s="2">
        <v>144.31</v>
      </c>
      <c r="F95" s="2">
        <v>86.64</v>
      </c>
    </row>
    <row r="96" spans="1:6" x14ac:dyDescent="0.25">
      <c r="A96" s="1">
        <v>43514</v>
      </c>
      <c r="B96" s="2">
        <v>3671.37</v>
      </c>
      <c r="C96" s="2">
        <v>133.03</v>
      </c>
      <c r="D96" s="2">
        <v>43.88</v>
      </c>
      <c r="E96" s="2">
        <v>124.97</v>
      </c>
      <c r="F96" s="2">
        <v>79.739999999999995</v>
      </c>
    </row>
    <row r="97" spans="1:6" x14ac:dyDescent="0.25">
      <c r="A97" s="1">
        <v>43513</v>
      </c>
      <c r="B97" s="2">
        <v>3633.36</v>
      </c>
      <c r="C97" s="2">
        <v>123.18</v>
      </c>
      <c r="D97" s="2">
        <v>43.4</v>
      </c>
      <c r="E97" s="2">
        <v>122.23</v>
      </c>
      <c r="F97" s="2">
        <v>79.67</v>
      </c>
    </row>
    <row r="98" spans="1:6" x14ac:dyDescent="0.25">
      <c r="A98" s="1">
        <v>43512</v>
      </c>
      <c r="B98" s="2">
        <v>3615.27</v>
      </c>
      <c r="C98" s="2">
        <v>122.4</v>
      </c>
      <c r="D98" s="2">
        <v>42.76</v>
      </c>
      <c r="E98" s="2">
        <v>122.01</v>
      </c>
      <c r="F98" s="2">
        <v>79.12</v>
      </c>
    </row>
    <row r="99" spans="1:6" x14ac:dyDescent="0.25">
      <c r="A99" s="1">
        <v>43511</v>
      </c>
      <c r="B99" s="2">
        <v>3617.37</v>
      </c>
      <c r="C99" s="2">
        <v>121.45</v>
      </c>
      <c r="D99" s="2">
        <v>41.64</v>
      </c>
      <c r="E99" s="2">
        <v>122.18</v>
      </c>
      <c r="F99" s="2">
        <v>78.58</v>
      </c>
    </row>
    <row r="100" spans="1:6" x14ac:dyDescent="0.25">
      <c r="A100" s="1">
        <v>43510</v>
      </c>
      <c r="B100" s="2">
        <v>3631.17</v>
      </c>
      <c r="C100" s="2">
        <v>122.42</v>
      </c>
      <c r="D100" s="2">
        <v>41.88</v>
      </c>
      <c r="E100" s="2">
        <v>123.12</v>
      </c>
      <c r="F100" s="2">
        <v>80.58</v>
      </c>
    </row>
    <row r="101" spans="1:6" x14ac:dyDescent="0.25">
      <c r="A101" s="1">
        <v>43509</v>
      </c>
      <c r="B101" s="2">
        <v>3653.6</v>
      </c>
      <c r="C101" s="2">
        <v>122.54</v>
      </c>
      <c r="D101" s="2">
        <v>43.83</v>
      </c>
      <c r="E101" s="2">
        <v>123.38</v>
      </c>
      <c r="F101" s="2">
        <v>82.72</v>
      </c>
    </row>
    <row r="102" spans="1:6" x14ac:dyDescent="0.25">
      <c r="A102" s="1">
        <v>43508</v>
      </c>
      <c r="B102" s="2">
        <v>3642.75</v>
      </c>
      <c r="C102" s="2">
        <v>121.18</v>
      </c>
      <c r="D102" s="2">
        <v>43.17</v>
      </c>
      <c r="E102" s="2">
        <v>122.52</v>
      </c>
      <c r="F102" s="2">
        <v>80.209999999999994</v>
      </c>
    </row>
    <row r="103" spans="1:6" x14ac:dyDescent="0.25">
      <c r="A103" s="1">
        <v>43507</v>
      </c>
      <c r="B103" s="2">
        <v>3695.61</v>
      </c>
      <c r="C103" s="2">
        <v>124.87</v>
      </c>
      <c r="D103" s="2">
        <v>46.88</v>
      </c>
      <c r="E103" s="2">
        <v>127.69</v>
      </c>
      <c r="F103" s="2">
        <v>75.52</v>
      </c>
    </row>
    <row r="104" spans="1:6" x14ac:dyDescent="0.25">
      <c r="A104" s="1">
        <v>43506</v>
      </c>
      <c r="B104" s="2">
        <v>3673.2</v>
      </c>
      <c r="C104" s="2">
        <v>119.41</v>
      </c>
      <c r="D104" s="2">
        <v>44.76</v>
      </c>
      <c r="E104" s="2">
        <v>128.63</v>
      </c>
      <c r="F104" s="2">
        <v>74.239999999999995</v>
      </c>
    </row>
    <row r="105" spans="1:6" x14ac:dyDescent="0.25">
      <c r="A105" s="1">
        <v>43505</v>
      </c>
      <c r="B105" s="2">
        <v>3671.59</v>
      </c>
      <c r="C105" s="2">
        <v>119.21</v>
      </c>
      <c r="D105" s="2">
        <v>43.02</v>
      </c>
      <c r="E105" s="2">
        <v>129.93</v>
      </c>
      <c r="F105" s="2">
        <v>73.86</v>
      </c>
    </row>
    <row r="106" spans="1:6" x14ac:dyDescent="0.25">
      <c r="A106" s="1">
        <v>43504</v>
      </c>
      <c r="B106" s="2">
        <v>3401.38</v>
      </c>
      <c r="C106" s="2">
        <v>104.65</v>
      </c>
      <c r="D106" s="2">
        <v>33.24</v>
      </c>
      <c r="E106" s="2">
        <v>115.78</v>
      </c>
      <c r="F106" s="2">
        <v>67.260000000000005</v>
      </c>
    </row>
    <row r="107" spans="1:6" x14ac:dyDescent="0.25">
      <c r="A107" s="1">
        <v>43503</v>
      </c>
      <c r="B107" s="2">
        <v>3414.93</v>
      </c>
      <c r="C107" s="2">
        <v>104.84</v>
      </c>
      <c r="D107" s="2">
        <v>32.909999999999997</v>
      </c>
      <c r="E107" s="2">
        <v>115.18</v>
      </c>
      <c r="F107" s="2">
        <v>65.75</v>
      </c>
    </row>
    <row r="108" spans="1:6" x14ac:dyDescent="0.25">
      <c r="A108" s="1">
        <v>43502</v>
      </c>
      <c r="B108" s="2">
        <v>3469.09</v>
      </c>
      <c r="C108" s="2">
        <v>107.57</v>
      </c>
      <c r="D108" s="2">
        <v>34.35</v>
      </c>
      <c r="E108" s="2">
        <v>117.98</v>
      </c>
      <c r="F108" s="2">
        <v>68.34</v>
      </c>
    </row>
    <row r="109" spans="1:6" x14ac:dyDescent="0.25">
      <c r="A109" s="1">
        <v>43501</v>
      </c>
      <c r="B109" s="2">
        <v>3454.95</v>
      </c>
      <c r="C109" s="2">
        <v>107.63</v>
      </c>
      <c r="D109" s="2">
        <v>34.01</v>
      </c>
      <c r="E109" s="2">
        <v>119.03</v>
      </c>
      <c r="F109" s="2">
        <v>66.849999999999994</v>
      </c>
    </row>
    <row r="110" spans="1:6" x14ac:dyDescent="0.25">
      <c r="A110" s="1">
        <v>43500</v>
      </c>
      <c r="B110" s="2">
        <v>3467.21</v>
      </c>
      <c r="C110" s="2">
        <v>107.63</v>
      </c>
      <c r="D110" s="2">
        <v>33.46</v>
      </c>
      <c r="E110" s="2">
        <v>119.3</v>
      </c>
      <c r="F110" s="2">
        <v>67.03</v>
      </c>
    </row>
    <row r="111" spans="1:6" x14ac:dyDescent="0.25">
      <c r="A111" s="1">
        <v>43499</v>
      </c>
      <c r="B111" s="2">
        <v>3516.14</v>
      </c>
      <c r="C111" s="2">
        <v>110.49</v>
      </c>
      <c r="D111" s="2">
        <v>34.43</v>
      </c>
      <c r="E111" s="2">
        <v>121.79</v>
      </c>
      <c r="F111" s="2">
        <v>67.989999999999995</v>
      </c>
    </row>
    <row r="112" spans="1:6" x14ac:dyDescent="0.25">
      <c r="A112" s="1">
        <v>43498</v>
      </c>
      <c r="B112" s="2">
        <v>3484.63</v>
      </c>
      <c r="C112" s="2">
        <v>107.47</v>
      </c>
      <c r="D112" s="2">
        <v>32.82</v>
      </c>
      <c r="E112" s="2">
        <v>116.55</v>
      </c>
      <c r="F112" s="2">
        <v>67.39</v>
      </c>
    </row>
    <row r="113" spans="1:6" x14ac:dyDescent="0.25">
      <c r="A113" s="1">
        <v>43497</v>
      </c>
      <c r="B113" s="2">
        <v>3460.55</v>
      </c>
      <c r="C113" s="2">
        <v>107.15</v>
      </c>
      <c r="D113" s="2">
        <v>31.72</v>
      </c>
      <c r="E113" s="2">
        <v>114.8</v>
      </c>
      <c r="F113" s="2">
        <v>68.349999999999994</v>
      </c>
    </row>
    <row r="114" spans="1:6" x14ac:dyDescent="0.25">
      <c r="A114" s="1">
        <v>43496</v>
      </c>
      <c r="B114" s="2">
        <v>3485.41</v>
      </c>
      <c r="C114" s="2">
        <v>108.9</v>
      </c>
      <c r="D114" s="2">
        <v>31.89</v>
      </c>
      <c r="E114" s="2">
        <v>118.16</v>
      </c>
      <c r="F114" s="2">
        <v>69.27</v>
      </c>
    </row>
    <row r="115" spans="1:6" x14ac:dyDescent="0.25">
      <c r="A115" s="1">
        <v>43495</v>
      </c>
      <c r="B115" s="2">
        <v>3443.9</v>
      </c>
      <c r="C115" s="2">
        <v>105.41</v>
      </c>
      <c r="D115" s="2">
        <v>31.07</v>
      </c>
      <c r="E115" s="2">
        <v>110.96</v>
      </c>
      <c r="F115" s="2">
        <v>68.16</v>
      </c>
    </row>
    <row r="116" spans="1:6" x14ac:dyDescent="0.25">
      <c r="A116" s="1">
        <v>43494</v>
      </c>
      <c r="B116" s="2">
        <v>3468.87</v>
      </c>
      <c r="C116" s="2">
        <v>106.72</v>
      </c>
      <c r="D116" s="2">
        <v>31.24</v>
      </c>
      <c r="E116" s="2">
        <v>112.25</v>
      </c>
      <c r="F116" s="2">
        <v>68.099999999999994</v>
      </c>
    </row>
    <row r="117" spans="1:6" x14ac:dyDescent="0.25">
      <c r="A117" s="1">
        <v>43493</v>
      </c>
      <c r="B117" s="2">
        <v>3584.28</v>
      </c>
      <c r="C117" s="2">
        <v>113.29</v>
      </c>
      <c r="D117" s="2">
        <v>32.520000000000003</v>
      </c>
      <c r="E117" s="2">
        <v>123.04</v>
      </c>
      <c r="F117" s="2">
        <v>71.45</v>
      </c>
    </row>
    <row r="118" spans="1:6" x14ac:dyDescent="0.25">
      <c r="A118" s="1">
        <v>43492</v>
      </c>
      <c r="B118" s="2">
        <v>3604.69</v>
      </c>
      <c r="C118" s="2">
        <v>116.51</v>
      </c>
      <c r="D118" s="2">
        <v>33.08</v>
      </c>
      <c r="E118" s="2">
        <v>127.16</v>
      </c>
      <c r="F118" s="2">
        <v>74.180000000000007</v>
      </c>
    </row>
    <row r="119" spans="1:6" x14ac:dyDescent="0.25">
      <c r="A119" s="1">
        <v>43491</v>
      </c>
      <c r="B119" s="2">
        <v>3599.72</v>
      </c>
      <c r="C119" s="2">
        <v>116.37</v>
      </c>
      <c r="D119" s="2">
        <v>32.97</v>
      </c>
      <c r="E119" s="2">
        <v>128.44</v>
      </c>
      <c r="F119" s="2">
        <v>73.790000000000006</v>
      </c>
    </row>
    <row r="120" spans="1:6" x14ac:dyDescent="0.25">
      <c r="A120" s="1">
        <v>43490</v>
      </c>
      <c r="B120" s="2">
        <v>3607.39</v>
      </c>
      <c r="C120" s="2">
        <v>117.59</v>
      </c>
      <c r="D120" s="2">
        <v>32.82</v>
      </c>
      <c r="E120" s="2">
        <v>129.52000000000001</v>
      </c>
      <c r="F120" s="2">
        <v>73.239999999999995</v>
      </c>
    </row>
    <row r="121" spans="1:6" x14ac:dyDescent="0.25">
      <c r="A121" s="1">
        <v>43489</v>
      </c>
      <c r="B121" s="2">
        <v>3584.5</v>
      </c>
      <c r="C121" s="2">
        <v>117.46</v>
      </c>
      <c r="D121" s="2">
        <v>32.04</v>
      </c>
      <c r="E121" s="2">
        <v>132.21</v>
      </c>
      <c r="F121" s="2">
        <v>71.069999999999993</v>
      </c>
    </row>
    <row r="122" spans="1:6" x14ac:dyDescent="0.25">
      <c r="A122" s="1">
        <v>43488</v>
      </c>
      <c r="B122" s="2">
        <v>3605.56</v>
      </c>
      <c r="C122" s="2">
        <v>118.71</v>
      </c>
      <c r="D122" s="2">
        <v>31.67</v>
      </c>
      <c r="E122" s="2">
        <v>128.44</v>
      </c>
      <c r="F122" s="2">
        <v>71.78</v>
      </c>
    </row>
    <row r="123" spans="1:6" x14ac:dyDescent="0.25">
      <c r="A123" s="1">
        <v>43487</v>
      </c>
      <c r="B123" s="2">
        <v>3575.08</v>
      </c>
      <c r="C123" s="2">
        <v>117.11</v>
      </c>
      <c r="D123" s="2">
        <v>31.21</v>
      </c>
      <c r="E123" s="2">
        <v>122.71</v>
      </c>
      <c r="F123" s="2">
        <v>69.92</v>
      </c>
    </row>
    <row r="124" spans="1:6" x14ac:dyDescent="0.25">
      <c r="A124" s="1">
        <v>43486</v>
      </c>
      <c r="B124" s="2">
        <v>3600.37</v>
      </c>
      <c r="C124" s="2">
        <v>119.64</v>
      </c>
      <c r="D124" s="2">
        <v>31.19</v>
      </c>
      <c r="E124" s="2">
        <v>123.92</v>
      </c>
      <c r="F124" s="2">
        <v>70.040000000000006</v>
      </c>
    </row>
    <row r="125" spans="1:6" x14ac:dyDescent="0.25">
      <c r="A125" s="1">
        <v>43485</v>
      </c>
      <c r="B125" s="2">
        <v>3725.45</v>
      </c>
      <c r="C125" s="2">
        <v>124.63</v>
      </c>
      <c r="D125" s="2">
        <v>32.49</v>
      </c>
      <c r="E125" s="2">
        <v>130.13999999999999</v>
      </c>
      <c r="F125" s="2">
        <v>73.87</v>
      </c>
    </row>
    <row r="126" spans="1:6" x14ac:dyDescent="0.25">
      <c r="A126" s="1">
        <v>43484</v>
      </c>
      <c r="B126" s="2">
        <v>3652.38</v>
      </c>
      <c r="C126" s="2">
        <v>121.61</v>
      </c>
      <c r="D126" s="2">
        <v>31.48</v>
      </c>
      <c r="E126" s="2">
        <v>128.55000000000001</v>
      </c>
      <c r="F126" s="2">
        <v>71.72</v>
      </c>
    </row>
    <row r="127" spans="1:6" x14ac:dyDescent="0.25">
      <c r="A127" s="1">
        <v>43483</v>
      </c>
      <c r="B127" s="2">
        <v>3677.99</v>
      </c>
      <c r="C127" s="2">
        <v>123.65</v>
      </c>
      <c r="D127" s="2">
        <v>31.91</v>
      </c>
      <c r="E127" s="2">
        <v>131.09</v>
      </c>
      <c r="F127" s="2">
        <v>72.41</v>
      </c>
    </row>
    <row r="128" spans="1:6" x14ac:dyDescent="0.25">
      <c r="A128" s="1">
        <v>43482</v>
      </c>
      <c r="B128" s="2">
        <v>3651.87</v>
      </c>
      <c r="C128" s="2">
        <v>123.57</v>
      </c>
      <c r="D128" s="2">
        <v>31.85</v>
      </c>
      <c r="E128" s="2">
        <v>129.19999999999999</v>
      </c>
      <c r="F128" s="2">
        <v>71.56</v>
      </c>
    </row>
    <row r="129" spans="1:6" x14ac:dyDescent="0.25">
      <c r="A129" s="1">
        <v>43481</v>
      </c>
      <c r="B129" s="2">
        <v>3631.51</v>
      </c>
      <c r="C129" s="2">
        <v>121.81</v>
      </c>
      <c r="D129" s="2">
        <v>31.44</v>
      </c>
      <c r="E129" s="2">
        <v>128.69</v>
      </c>
      <c r="F129" s="2">
        <v>70.64</v>
      </c>
    </row>
    <row r="130" spans="1:6" x14ac:dyDescent="0.25">
      <c r="A130" s="1">
        <v>43480</v>
      </c>
      <c r="B130" s="2">
        <v>3704.22</v>
      </c>
      <c r="C130" s="2">
        <v>129.16999999999999</v>
      </c>
      <c r="D130" s="2">
        <v>32.380000000000003</v>
      </c>
      <c r="E130" s="2">
        <v>133.97</v>
      </c>
      <c r="F130" s="2">
        <v>72.900000000000006</v>
      </c>
    </row>
    <row r="131" spans="1:6" x14ac:dyDescent="0.25">
      <c r="A131" s="1">
        <v>43479</v>
      </c>
      <c r="B131" s="2">
        <v>3557.31</v>
      </c>
      <c r="C131" s="2">
        <v>116.98</v>
      </c>
      <c r="D131" s="2">
        <v>30.38</v>
      </c>
      <c r="E131" s="2">
        <v>126.48</v>
      </c>
      <c r="F131" s="2">
        <v>70.430000000000007</v>
      </c>
    </row>
    <row r="132" spans="1:6" x14ac:dyDescent="0.25">
      <c r="A132" s="1">
        <v>43478</v>
      </c>
      <c r="B132" s="2">
        <v>3658.87</v>
      </c>
      <c r="C132" s="2">
        <v>125.91</v>
      </c>
      <c r="D132" s="2">
        <v>32.4</v>
      </c>
      <c r="E132" s="2">
        <v>134.5</v>
      </c>
      <c r="F132" s="2">
        <v>73.61</v>
      </c>
    </row>
    <row r="133" spans="1:6" x14ac:dyDescent="0.25">
      <c r="A133" s="1">
        <v>43477</v>
      </c>
      <c r="B133" s="2">
        <v>3686.97</v>
      </c>
      <c r="C133" s="2">
        <v>127.53</v>
      </c>
      <c r="D133" s="2">
        <v>32.46</v>
      </c>
      <c r="E133" s="2">
        <v>131.5</v>
      </c>
      <c r="F133" s="2">
        <v>73.88</v>
      </c>
    </row>
    <row r="134" spans="1:6" x14ac:dyDescent="0.25">
      <c r="A134" s="1">
        <v>43476</v>
      </c>
      <c r="B134" s="2">
        <v>3674.02</v>
      </c>
      <c r="C134" s="2">
        <v>127.81</v>
      </c>
      <c r="D134" s="2">
        <v>33.68</v>
      </c>
      <c r="E134" s="2">
        <v>133.91</v>
      </c>
      <c r="F134" s="2">
        <v>73.61</v>
      </c>
    </row>
    <row r="135" spans="1:6" x14ac:dyDescent="0.25">
      <c r="A135" s="1">
        <v>43475</v>
      </c>
      <c r="B135" s="2">
        <v>4034.41</v>
      </c>
      <c r="C135" s="2">
        <v>150.84</v>
      </c>
      <c r="D135" s="2">
        <v>38.99</v>
      </c>
      <c r="E135" s="2">
        <v>160.28</v>
      </c>
      <c r="F135" s="2">
        <v>85.85</v>
      </c>
    </row>
    <row r="136" spans="1:6" x14ac:dyDescent="0.25">
      <c r="A136" s="1">
        <v>43474</v>
      </c>
      <c r="B136" s="2">
        <v>4031.55</v>
      </c>
      <c r="C136" s="2">
        <v>150.55000000000001</v>
      </c>
      <c r="D136" s="2">
        <v>39.450000000000003</v>
      </c>
      <c r="E136" s="2">
        <v>162.12</v>
      </c>
      <c r="F136" s="2">
        <v>81.680000000000007</v>
      </c>
    </row>
    <row r="137" spans="1:6" x14ac:dyDescent="0.25">
      <c r="A137" s="1">
        <v>43473</v>
      </c>
      <c r="B137" s="2">
        <v>4028.47</v>
      </c>
      <c r="C137" s="2">
        <v>151.97</v>
      </c>
      <c r="D137" s="2">
        <v>37.92</v>
      </c>
      <c r="E137" s="2">
        <v>161.4</v>
      </c>
      <c r="F137" s="2">
        <v>83.45</v>
      </c>
    </row>
    <row r="138" spans="1:6" x14ac:dyDescent="0.25">
      <c r="A138" s="1">
        <v>43472</v>
      </c>
      <c r="B138" s="2">
        <v>4078.59</v>
      </c>
      <c r="C138" s="2">
        <v>157.81</v>
      </c>
      <c r="D138" s="2">
        <v>39.28</v>
      </c>
      <c r="E138" s="2">
        <v>166.85</v>
      </c>
      <c r="F138" s="2">
        <v>86</v>
      </c>
    </row>
    <row r="139" spans="1:6" x14ac:dyDescent="0.25">
      <c r="A139" s="1">
        <v>43471</v>
      </c>
      <c r="B139" s="2">
        <v>3836.52</v>
      </c>
      <c r="C139" s="2">
        <v>155.80000000000001</v>
      </c>
      <c r="D139" s="2">
        <v>34.85</v>
      </c>
      <c r="E139" s="2">
        <v>160.19</v>
      </c>
      <c r="F139" s="2">
        <v>80.58</v>
      </c>
    </row>
    <row r="140" spans="1:6" x14ac:dyDescent="0.25">
      <c r="A140" s="1">
        <v>43470</v>
      </c>
      <c r="B140" s="2">
        <v>3851.97</v>
      </c>
      <c r="C140" s="2">
        <v>154.34</v>
      </c>
      <c r="D140" s="2">
        <v>32.35</v>
      </c>
      <c r="E140" s="2">
        <v>161.13999999999999</v>
      </c>
      <c r="F140" s="2">
        <v>81.02</v>
      </c>
    </row>
    <row r="141" spans="1:6" x14ac:dyDescent="0.25">
      <c r="A141" s="1">
        <v>43469</v>
      </c>
      <c r="B141" s="2">
        <v>3832.04</v>
      </c>
      <c r="C141" s="2">
        <v>148.91</v>
      </c>
      <c r="D141" s="2">
        <v>32.020000000000003</v>
      </c>
      <c r="E141" s="2">
        <v>161.71</v>
      </c>
      <c r="F141" s="2">
        <v>80.88</v>
      </c>
    </row>
    <row r="142" spans="1:6" x14ac:dyDescent="0.25">
      <c r="A142" s="1">
        <v>43468</v>
      </c>
      <c r="B142" s="2">
        <v>3931.05</v>
      </c>
      <c r="C142" s="2">
        <v>155.19999999999999</v>
      </c>
      <c r="D142" s="2">
        <v>33.35</v>
      </c>
      <c r="E142" s="2">
        <v>173.27</v>
      </c>
      <c r="F142" s="2">
        <v>83.9</v>
      </c>
    </row>
    <row r="143" spans="1:6" x14ac:dyDescent="0.25">
      <c r="A143" s="1">
        <v>43467</v>
      </c>
      <c r="B143" s="2">
        <v>3849.22</v>
      </c>
      <c r="C143" s="2">
        <v>141.52000000000001</v>
      </c>
      <c r="D143" s="2">
        <v>32.020000000000003</v>
      </c>
      <c r="E143" s="2">
        <v>165.62</v>
      </c>
      <c r="F143" s="2">
        <v>81.31</v>
      </c>
    </row>
    <row r="144" spans="1:6" x14ac:dyDescent="0.25">
      <c r="A144" s="1">
        <v>43466</v>
      </c>
      <c r="B144" s="2">
        <v>3746.71</v>
      </c>
      <c r="C144" s="2">
        <v>133.41999999999999</v>
      </c>
      <c r="D144" s="2">
        <v>30.46</v>
      </c>
      <c r="E144" s="2">
        <v>150.9</v>
      </c>
      <c r="F144" s="2">
        <v>79.16</v>
      </c>
    </row>
    <row r="145" spans="1:6" x14ac:dyDescent="0.25">
      <c r="A145" s="1">
        <v>43465</v>
      </c>
      <c r="B145" s="2">
        <v>3866.84</v>
      </c>
      <c r="C145" s="2">
        <v>140.03</v>
      </c>
      <c r="D145" s="2">
        <v>31.98</v>
      </c>
      <c r="E145" s="2">
        <v>163.52000000000001</v>
      </c>
      <c r="F145" s="2">
        <v>81.84</v>
      </c>
    </row>
    <row r="146" spans="1:6" x14ac:dyDescent="0.25">
      <c r="A146" s="1">
        <v>43464</v>
      </c>
      <c r="B146" s="2">
        <v>3822.38</v>
      </c>
      <c r="C146" s="2">
        <v>137.63</v>
      </c>
      <c r="D146" s="2">
        <v>31.42</v>
      </c>
      <c r="E146" s="2">
        <v>165.15</v>
      </c>
      <c r="F146" s="2">
        <v>80.22</v>
      </c>
    </row>
    <row r="147" spans="1:6" x14ac:dyDescent="0.25">
      <c r="A147" s="1">
        <v>43463</v>
      </c>
      <c r="B147" s="2">
        <v>3932.49</v>
      </c>
      <c r="C147" s="2">
        <v>138.47</v>
      </c>
      <c r="D147" s="2">
        <v>32.56</v>
      </c>
      <c r="E147" s="2">
        <v>174.47</v>
      </c>
      <c r="F147" s="2">
        <v>84.36</v>
      </c>
    </row>
    <row r="148" spans="1:6" x14ac:dyDescent="0.25">
      <c r="A148" s="1">
        <v>43462</v>
      </c>
      <c r="B148" s="2">
        <v>3653.13</v>
      </c>
      <c r="C148" s="2">
        <v>116.9</v>
      </c>
      <c r="D148" s="2">
        <v>28.3</v>
      </c>
      <c r="E148" s="2">
        <v>150.56</v>
      </c>
      <c r="F148" s="2">
        <v>76.260000000000005</v>
      </c>
    </row>
    <row r="149" spans="1:6" x14ac:dyDescent="0.25">
      <c r="A149" s="1">
        <v>43461</v>
      </c>
      <c r="B149" s="2">
        <v>3854.69</v>
      </c>
      <c r="C149" s="2">
        <v>131.91999999999999</v>
      </c>
      <c r="D149" s="2">
        <v>30.96</v>
      </c>
      <c r="E149" s="2">
        <v>175.41</v>
      </c>
      <c r="F149" s="2">
        <v>84.41</v>
      </c>
    </row>
    <row r="150" spans="1:6" x14ac:dyDescent="0.25">
      <c r="A150" s="1">
        <v>43460</v>
      </c>
      <c r="B150" s="2">
        <v>3819.67</v>
      </c>
      <c r="C150" s="2">
        <v>129.88999999999999</v>
      </c>
      <c r="D150" s="2">
        <v>31.09</v>
      </c>
      <c r="E150" s="2">
        <v>172.06</v>
      </c>
      <c r="F150" s="2">
        <v>84</v>
      </c>
    </row>
    <row r="151" spans="1:6" x14ac:dyDescent="0.25">
      <c r="A151" s="1">
        <v>43459</v>
      </c>
      <c r="B151" s="2">
        <v>4081.03</v>
      </c>
      <c r="C151" s="2">
        <v>141</v>
      </c>
      <c r="D151" s="2">
        <v>33.4</v>
      </c>
      <c r="E151" s="2">
        <v>183.03</v>
      </c>
      <c r="F151" s="2">
        <v>92.76</v>
      </c>
    </row>
    <row r="152" spans="1:6" x14ac:dyDescent="0.25">
      <c r="A152" s="1">
        <v>43458</v>
      </c>
      <c r="B152" s="2">
        <v>4000.33</v>
      </c>
      <c r="C152" s="2">
        <v>130.63999999999999</v>
      </c>
      <c r="D152" s="2">
        <v>33.47</v>
      </c>
      <c r="E152" s="2">
        <v>200.03</v>
      </c>
      <c r="F152" s="2">
        <v>90.28</v>
      </c>
    </row>
    <row r="153" spans="1:6" x14ac:dyDescent="0.25">
      <c r="A153" s="1">
        <v>43457</v>
      </c>
      <c r="B153" s="2">
        <v>4020.99</v>
      </c>
      <c r="C153" s="2">
        <v>117.27</v>
      </c>
      <c r="D153" s="2">
        <v>31.99</v>
      </c>
      <c r="E153" s="2">
        <v>197.89</v>
      </c>
      <c r="F153" s="2">
        <v>87.62</v>
      </c>
    </row>
    <row r="154" spans="1:6" x14ac:dyDescent="0.25">
      <c r="A154" s="1">
        <v>43456</v>
      </c>
      <c r="B154" s="2">
        <v>3898.08</v>
      </c>
      <c r="C154" s="2">
        <v>109.46</v>
      </c>
      <c r="D154" s="2">
        <v>30.83</v>
      </c>
      <c r="E154" s="2">
        <v>196.3</v>
      </c>
      <c r="F154" s="2">
        <v>85.7</v>
      </c>
    </row>
    <row r="155" spans="1:6" x14ac:dyDescent="0.25">
      <c r="A155" s="1">
        <v>43455</v>
      </c>
      <c r="B155" s="2">
        <v>4133.7</v>
      </c>
      <c r="C155" s="2">
        <v>115.84</v>
      </c>
      <c r="D155" s="2">
        <v>32.729999999999997</v>
      </c>
      <c r="E155" s="2">
        <v>190.48</v>
      </c>
      <c r="F155" s="2">
        <v>96.52</v>
      </c>
    </row>
    <row r="156" spans="1:6" x14ac:dyDescent="0.25">
      <c r="A156" s="1">
        <v>43454</v>
      </c>
      <c r="B156" s="2">
        <v>3742.2</v>
      </c>
      <c r="C156" s="2">
        <v>101.09</v>
      </c>
      <c r="D156" s="2">
        <v>29.6</v>
      </c>
      <c r="E156" s="2">
        <v>126.28</v>
      </c>
      <c r="F156" s="2">
        <v>74.23</v>
      </c>
    </row>
    <row r="157" spans="1:6" x14ac:dyDescent="0.25">
      <c r="A157" s="1">
        <v>43453</v>
      </c>
      <c r="B157" s="2">
        <v>3706.82</v>
      </c>
      <c r="C157" s="2">
        <v>101.68</v>
      </c>
      <c r="D157" s="2">
        <v>30.33</v>
      </c>
      <c r="E157" s="2">
        <v>105.44</v>
      </c>
      <c r="F157" s="2">
        <v>73.63</v>
      </c>
    </row>
    <row r="158" spans="1:6" x14ac:dyDescent="0.25">
      <c r="A158" s="1">
        <v>43452</v>
      </c>
      <c r="B158" s="2">
        <v>3544.76</v>
      </c>
      <c r="C158" s="2">
        <v>95.11</v>
      </c>
      <c r="D158" s="2">
        <v>29.27</v>
      </c>
      <c r="E158" s="2">
        <v>90.31</v>
      </c>
      <c r="F158" s="2">
        <v>71.290000000000006</v>
      </c>
    </row>
    <row r="159" spans="1:6" x14ac:dyDescent="0.25">
      <c r="A159" s="1">
        <v>43451</v>
      </c>
      <c r="B159" s="2">
        <v>3253.12</v>
      </c>
      <c r="C159" s="2">
        <v>85.38</v>
      </c>
      <c r="D159" s="2">
        <v>25.68</v>
      </c>
      <c r="E159" s="2">
        <v>81.53</v>
      </c>
      <c r="F159" s="2">
        <v>63.19</v>
      </c>
    </row>
    <row r="160" spans="1:6" x14ac:dyDescent="0.25">
      <c r="A160" s="1">
        <v>43450</v>
      </c>
      <c r="B160" s="2">
        <v>3236.27</v>
      </c>
      <c r="C160" s="2">
        <v>84.47</v>
      </c>
      <c r="D160" s="2">
        <v>23.79</v>
      </c>
      <c r="E160" s="2">
        <v>77.37</v>
      </c>
      <c r="F160" s="2">
        <v>62.51</v>
      </c>
    </row>
    <row r="161" spans="1:6" x14ac:dyDescent="0.25">
      <c r="A161" s="1">
        <v>43449</v>
      </c>
      <c r="B161" s="2">
        <v>3244</v>
      </c>
      <c r="C161" s="2">
        <v>84.28</v>
      </c>
      <c r="D161" s="2">
        <v>23.46</v>
      </c>
      <c r="E161" s="2">
        <v>80.33</v>
      </c>
      <c r="F161" s="2">
        <v>59.76</v>
      </c>
    </row>
    <row r="162" spans="1:6" x14ac:dyDescent="0.25">
      <c r="A162" s="1">
        <v>43448</v>
      </c>
      <c r="B162" s="2">
        <v>3311.75</v>
      </c>
      <c r="C162" s="2">
        <v>86.63</v>
      </c>
      <c r="D162" s="2">
        <v>23.65</v>
      </c>
      <c r="E162" s="2">
        <v>90.24</v>
      </c>
      <c r="F162" s="2">
        <v>61.19</v>
      </c>
    </row>
    <row r="163" spans="1:6" x14ac:dyDescent="0.25">
      <c r="A163" s="1">
        <v>43447</v>
      </c>
      <c r="B163" s="2">
        <v>3487.88</v>
      </c>
      <c r="C163" s="2">
        <v>90.66</v>
      </c>
      <c r="D163" s="2">
        <v>24.53</v>
      </c>
      <c r="E163" s="2">
        <v>102.43</v>
      </c>
      <c r="F163" s="2">
        <v>65.569999999999993</v>
      </c>
    </row>
    <row r="164" spans="1:6" x14ac:dyDescent="0.25">
      <c r="A164" s="1">
        <v>43446</v>
      </c>
      <c r="B164" s="2">
        <v>3421.46</v>
      </c>
      <c r="C164" s="2">
        <v>88.61</v>
      </c>
      <c r="D164" s="2">
        <v>23.8</v>
      </c>
      <c r="E164" s="2">
        <v>101.71</v>
      </c>
      <c r="F164" s="2">
        <v>64.03</v>
      </c>
    </row>
    <row r="165" spans="1:6" x14ac:dyDescent="0.25">
      <c r="A165" s="1">
        <v>43445</v>
      </c>
      <c r="B165" s="2">
        <v>3497.55</v>
      </c>
      <c r="C165" s="2">
        <v>91.58</v>
      </c>
      <c r="D165" s="2">
        <v>24.6</v>
      </c>
      <c r="E165" s="2">
        <v>107.05</v>
      </c>
      <c r="F165" s="2">
        <v>68.8</v>
      </c>
    </row>
    <row r="166" spans="1:6" x14ac:dyDescent="0.25">
      <c r="A166" s="1">
        <v>43444</v>
      </c>
      <c r="B166" s="2">
        <v>3612.05</v>
      </c>
      <c r="C166" s="2">
        <v>94.99</v>
      </c>
      <c r="D166" s="2">
        <v>25.91</v>
      </c>
      <c r="E166" s="2">
        <v>109.6</v>
      </c>
      <c r="F166" s="2">
        <v>76.38</v>
      </c>
    </row>
    <row r="167" spans="1:6" x14ac:dyDescent="0.25">
      <c r="A167" s="1">
        <v>43443</v>
      </c>
      <c r="B167" s="2">
        <v>3473.23</v>
      </c>
      <c r="C167" s="2">
        <v>92.04</v>
      </c>
      <c r="D167" s="2">
        <v>24.8</v>
      </c>
      <c r="E167" s="2">
        <v>103.73</v>
      </c>
      <c r="F167" s="2">
        <v>68.81</v>
      </c>
    </row>
    <row r="168" spans="1:6" x14ac:dyDescent="0.25">
      <c r="A168" s="1">
        <v>43442</v>
      </c>
      <c r="B168" s="2">
        <v>3421.91</v>
      </c>
      <c r="C168" s="2">
        <v>93.41</v>
      </c>
      <c r="D168" s="2">
        <v>25.13</v>
      </c>
      <c r="E168" s="2">
        <v>106.24</v>
      </c>
      <c r="F168" s="2">
        <v>67.78</v>
      </c>
    </row>
    <row r="169" spans="1:6" x14ac:dyDescent="0.25">
      <c r="A169" s="1">
        <v>43441</v>
      </c>
      <c r="B169" s="2">
        <v>3512.59</v>
      </c>
      <c r="C169" s="2">
        <v>91.65</v>
      </c>
      <c r="D169" s="2">
        <v>26.91</v>
      </c>
      <c r="E169" s="2">
        <v>107.49</v>
      </c>
      <c r="F169" s="2">
        <v>66.08</v>
      </c>
    </row>
    <row r="170" spans="1:6" x14ac:dyDescent="0.25">
      <c r="A170" s="1">
        <v>43440</v>
      </c>
      <c r="B170" s="2">
        <v>3754.07</v>
      </c>
      <c r="C170" s="2">
        <v>102.45</v>
      </c>
      <c r="D170" s="2">
        <v>29.25</v>
      </c>
      <c r="E170" s="2">
        <v>130.52000000000001</v>
      </c>
      <c r="F170" s="2">
        <v>77.89</v>
      </c>
    </row>
    <row r="171" spans="1:6" x14ac:dyDescent="0.25">
      <c r="A171" s="1">
        <v>43439</v>
      </c>
      <c r="B171" s="2">
        <v>3958.89</v>
      </c>
      <c r="C171" s="2">
        <v>110.34</v>
      </c>
      <c r="D171" s="2">
        <v>31.22</v>
      </c>
      <c r="E171" s="2">
        <v>149.85</v>
      </c>
      <c r="F171" s="2">
        <v>85.61</v>
      </c>
    </row>
    <row r="172" spans="1:6" x14ac:dyDescent="0.25">
      <c r="A172" s="1">
        <v>43438</v>
      </c>
      <c r="B172" s="2">
        <v>3886.29</v>
      </c>
      <c r="C172" s="2">
        <v>108.8</v>
      </c>
      <c r="D172" s="2">
        <v>31.01</v>
      </c>
      <c r="E172" s="2">
        <v>159.63999999999999</v>
      </c>
      <c r="F172" s="2">
        <v>84.69</v>
      </c>
    </row>
    <row r="173" spans="1:6" x14ac:dyDescent="0.25">
      <c r="A173" s="1">
        <v>43437</v>
      </c>
      <c r="B173" s="2">
        <v>4147.32</v>
      </c>
      <c r="C173" s="2">
        <v>116.38</v>
      </c>
      <c r="D173" s="2">
        <v>33.81</v>
      </c>
      <c r="E173" s="2">
        <v>172.32</v>
      </c>
      <c r="F173" s="2">
        <v>93.39</v>
      </c>
    </row>
    <row r="174" spans="1:6" x14ac:dyDescent="0.25">
      <c r="A174" s="1">
        <v>43436</v>
      </c>
      <c r="B174" s="2">
        <v>4200.7299999999996</v>
      </c>
      <c r="C174" s="2">
        <v>118.27</v>
      </c>
      <c r="D174" s="2">
        <v>34.26</v>
      </c>
      <c r="E174" s="2">
        <v>171.94</v>
      </c>
      <c r="F174" s="2">
        <v>95.1</v>
      </c>
    </row>
    <row r="175" spans="1:6" x14ac:dyDescent="0.25">
      <c r="A175" s="1">
        <v>43435</v>
      </c>
      <c r="B175" s="2">
        <v>4024.46</v>
      </c>
      <c r="C175" s="2">
        <v>113.4</v>
      </c>
      <c r="D175" s="2">
        <v>32.130000000000003</v>
      </c>
      <c r="E175" s="2">
        <v>172.52</v>
      </c>
      <c r="F175" s="2">
        <v>92.06</v>
      </c>
    </row>
    <row r="176" spans="1:6" x14ac:dyDescent="0.25">
      <c r="A176" s="1">
        <v>43434</v>
      </c>
      <c r="B176" s="2">
        <v>4289.09</v>
      </c>
      <c r="C176" s="2">
        <v>117.73</v>
      </c>
      <c r="D176" s="2">
        <v>33.799999999999997</v>
      </c>
      <c r="E176" s="2">
        <v>181.09</v>
      </c>
      <c r="F176" s="2">
        <v>96.81</v>
      </c>
    </row>
    <row r="177" spans="1:6" x14ac:dyDescent="0.25">
      <c r="A177" s="1">
        <v>43433</v>
      </c>
      <c r="B177" s="2">
        <v>4269</v>
      </c>
      <c r="C177" s="2">
        <v>122.72</v>
      </c>
      <c r="D177" s="2">
        <v>34.72</v>
      </c>
      <c r="E177" s="2">
        <v>190.1</v>
      </c>
      <c r="F177" s="2">
        <v>99.86</v>
      </c>
    </row>
    <row r="178" spans="1:6" x14ac:dyDescent="0.25">
      <c r="A178" s="1">
        <v>43432</v>
      </c>
      <c r="B178" s="2">
        <v>3822.47</v>
      </c>
      <c r="C178" s="2">
        <v>110.2</v>
      </c>
      <c r="D178" s="2">
        <v>31.12</v>
      </c>
      <c r="E178" s="2">
        <v>179.14</v>
      </c>
      <c r="F178" s="2">
        <v>89.16</v>
      </c>
    </row>
    <row r="179" spans="1:6" x14ac:dyDescent="0.25">
      <c r="A179" s="1">
        <v>43431</v>
      </c>
      <c r="B179" s="2">
        <v>3765.95</v>
      </c>
      <c r="C179" s="2">
        <v>107.91</v>
      </c>
      <c r="D179" s="2">
        <v>29.41</v>
      </c>
      <c r="E179" s="2">
        <v>182</v>
      </c>
      <c r="F179" s="2">
        <v>88.68</v>
      </c>
    </row>
    <row r="180" spans="1:6" x14ac:dyDescent="0.25">
      <c r="A180" s="1">
        <v>43430</v>
      </c>
      <c r="B180" s="2">
        <v>4015.07</v>
      </c>
      <c r="C180" s="2">
        <v>116.34</v>
      </c>
      <c r="D180" s="2">
        <v>30.87</v>
      </c>
      <c r="E180" s="2">
        <v>184.83</v>
      </c>
      <c r="F180" s="2">
        <v>91.13</v>
      </c>
    </row>
    <row r="181" spans="1:6" x14ac:dyDescent="0.25">
      <c r="A181" s="1">
        <v>43429</v>
      </c>
      <c r="B181" s="2">
        <v>3880.78</v>
      </c>
      <c r="C181" s="2">
        <v>113.13</v>
      </c>
      <c r="D181" s="2">
        <v>29.23</v>
      </c>
      <c r="E181" s="2">
        <v>181.13</v>
      </c>
      <c r="F181" s="2">
        <v>93.04</v>
      </c>
    </row>
    <row r="182" spans="1:6" x14ac:dyDescent="0.25">
      <c r="A182" s="1">
        <v>43428</v>
      </c>
      <c r="B182" s="2">
        <v>4347.6899999999996</v>
      </c>
      <c r="C182" s="2">
        <v>123.3</v>
      </c>
      <c r="D182" s="2">
        <v>32.26</v>
      </c>
      <c r="E182" s="2">
        <v>207.66</v>
      </c>
      <c r="F182" s="2">
        <v>99.42</v>
      </c>
    </row>
    <row r="183" spans="1:6" x14ac:dyDescent="0.25">
      <c r="A183" s="1">
        <v>43427</v>
      </c>
      <c r="B183" s="2">
        <v>4360.7</v>
      </c>
      <c r="C183" s="2">
        <v>126.42</v>
      </c>
      <c r="D183" s="2">
        <v>32.020000000000003</v>
      </c>
      <c r="E183" s="2">
        <v>210.42</v>
      </c>
      <c r="F183" s="2">
        <v>102.2</v>
      </c>
    </row>
    <row r="184" spans="1:6" x14ac:dyDescent="0.25">
      <c r="A184" s="1">
        <v>43426</v>
      </c>
      <c r="B184" s="2">
        <v>4611.57</v>
      </c>
      <c r="C184" s="2">
        <v>136.81</v>
      </c>
      <c r="D184" s="2">
        <v>34.69</v>
      </c>
      <c r="E184" s="2">
        <v>236.21</v>
      </c>
      <c r="F184" s="2">
        <v>114.41</v>
      </c>
    </row>
    <row r="185" spans="1:6" x14ac:dyDescent="0.25">
      <c r="A185" s="1">
        <v>43425</v>
      </c>
      <c r="B185" s="2">
        <v>4465.54</v>
      </c>
      <c r="C185" s="2">
        <v>131.13999999999999</v>
      </c>
      <c r="D185" s="2">
        <v>33.07</v>
      </c>
      <c r="E185" s="2">
        <v>226.38</v>
      </c>
      <c r="F185" s="2">
        <v>105.01</v>
      </c>
    </row>
    <row r="186" spans="1:6" x14ac:dyDescent="0.25">
      <c r="A186" s="1">
        <v>43424</v>
      </c>
      <c r="B186" s="2">
        <v>4863.93</v>
      </c>
      <c r="C186" s="2">
        <v>148.81</v>
      </c>
      <c r="D186" s="2">
        <v>36.57</v>
      </c>
      <c r="E186" s="2">
        <v>336.31</v>
      </c>
      <c r="F186" s="2">
        <v>109.39</v>
      </c>
    </row>
    <row r="187" spans="1:6" x14ac:dyDescent="0.25">
      <c r="A187" s="1">
        <v>43423</v>
      </c>
      <c r="B187" s="2">
        <v>5620.78</v>
      </c>
      <c r="C187" s="2">
        <v>177.18</v>
      </c>
      <c r="D187" s="2">
        <v>42.34</v>
      </c>
      <c r="E187" s="2">
        <v>383.63</v>
      </c>
      <c r="F187" s="2">
        <v>132.69</v>
      </c>
    </row>
    <row r="188" spans="1:6" x14ac:dyDescent="0.25">
      <c r="A188" s="1">
        <v>43422</v>
      </c>
      <c r="B188" s="2">
        <v>5559.74</v>
      </c>
      <c r="C188" s="2">
        <v>174.18</v>
      </c>
      <c r="D188" s="2">
        <v>42.09</v>
      </c>
      <c r="E188" s="2">
        <v>387.63</v>
      </c>
      <c r="F188" s="2">
        <v>132.91999999999999</v>
      </c>
    </row>
    <row r="189" spans="1:6" x14ac:dyDescent="0.25">
      <c r="A189" s="1">
        <v>43421</v>
      </c>
      <c r="B189" s="2">
        <v>5578.58</v>
      </c>
      <c r="C189" s="2">
        <v>175.36</v>
      </c>
      <c r="D189" s="2">
        <v>42.49</v>
      </c>
      <c r="E189" s="2">
        <v>389.5</v>
      </c>
      <c r="F189" s="2">
        <v>137.38999999999999</v>
      </c>
    </row>
    <row r="190" spans="1:6" x14ac:dyDescent="0.25">
      <c r="A190" s="1">
        <v>43420</v>
      </c>
      <c r="B190" s="2">
        <v>5645.32</v>
      </c>
      <c r="C190" s="2">
        <v>180.87</v>
      </c>
      <c r="D190" s="2">
        <v>43.96</v>
      </c>
      <c r="E190" s="2">
        <v>421.2</v>
      </c>
      <c r="F190" s="2">
        <v>138.54</v>
      </c>
    </row>
    <row r="191" spans="1:6" x14ac:dyDescent="0.25">
      <c r="A191" s="1">
        <v>43419</v>
      </c>
      <c r="B191" s="2">
        <v>5736.15</v>
      </c>
      <c r="C191" s="2">
        <v>181.9</v>
      </c>
      <c r="D191" s="2">
        <v>43.73</v>
      </c>
      <c r="E191" s="2">
        <v>439.96</v>
      </c>
      <c r="F191" s="2">
        <v>144.04</v>
      </c>
    </row>
    <row r="192" spans="1:6" x14ac:dyDescent="0.25">
      <c r="A192" s="1">
        <v>43418</v>
      </c>
      <c r="B192" s="2">
        <v>6351.24</v>
      </c>
      <c r="C192" s="2">
        <v>206.53</v>
      </c>
      <c r="D192" s="2">
        <v>49.58</v>
      </c>
      <c r="E192" s="2">
        <v>511.63</v>
      </c>
      <c r="F192" s="2">
        <v>160.74</v>
      </c>
    </row>
    <row r="193" spans="1:6" x14ac:dyDescent="0.25">
      <c r="A193" s="1">
        <v>43417</v>
      </c>
      <c r="B193" s="2">
        <v>6373.19</v>
      </c>
      <c r="C193" s="2">
        <v>210.15</v>
      </c>
      <c r="D193" s="2">
        <v>50.63</v>
      </c>
      <c r="E193" s="2">
        <v>514.58000000000004</v>
      </c>
      <c r="F193" s="2">
        <v>163.01</v>
      </c>
    </row>
    <row r="194" spans="1:6" x14ac:dyDescent="0.25">
      <c r="A194" s="1">
        <v>43416</v>
      </c>
      <c r="B194" s="2">
        <v>6411.76</v>
      </c>
      <c r="C194" s="2">
        <v>211.51</v>
      </c>
      <c r="D194" s="2">
        <v>51.48</v>
      </c>
      <c r="E194" s="2">
        <v>533.57000000000005</v>
      </c>
      <c r="F194" s="2">
        <v>160.24</v>
      </c>
    </row>
    <row r="195" spans="1:6" x14ac:dyDescent="0.25">
      <c r="A195" s="1">
        <v>43415</v>
      </c>
      <c r="B195" s="2">
        <v>6413.63</v>
      </c>
      <c r="C195" s="2">
        <v>212.48</v>
      </c>
      <c r="D195" s="2">
        <v>52.32</v>
      </c>
      <c r="E195" s="2">
        <v>555.78</v>
      </c>
      <c r="F195" s="2">
        <v>161.77000000000001</v>
      </c>
    </row>
    <row r="196" spans="1:6" x14ac:dyDescent="0.25">
      <c r="A196" s="1">
        <v>43414</v>
      </c>
      <c r="B196" s="2">
        <v>6386.13</v>
      </c>
      <c r="C196" s="2">
        <v>209.97</v>
      </c>
      <c r="D196" s="2">
        <v>51.93</v>
      </c>
      <c r="E196" s="2">
        <v>542.88</v>
      </c>
      <c r="F196" s="2">
        <v>159.96</v>
      </c>
    </row>
    <row r="197" spans="1:6" x14ac:dyDescent="0.25">
      <c r="A197" s="1">
        <v>43413</v>
      </c>
      <c r="B197" s="2">
        <v>6442.6</v>
      </c>
      <c r="C197" s="2">
        <v>211.99</v>
      </c>
      <c r="D197" s="2">
        <v>52.36</v>
      </c>
      <c r="E197" s="2">
        <v>574.01</v>
      </c>
      <c r="F197" s="2">
        <v>164.16</v>
      </c>
    </row>
    <row r="198" spans="1:6" x14ac:dyDescent="0.25">
      <c r="A198" s="1">
        <v>43412</v>
      </c>
      <c r="B198" s="2">
        <v>6522.27</v>
      </c>
      <c r="C198" s="2">
        <v>217.33</v>
      </c>
      <c r="D198" s="2">
        <v>54.19</v>
      </c>
      <c r="E198" s="2">
        <v>616.53</v>
      </c>
      <c r="F198" s="2">
        <v>166.25</v>
      </c>
    </row>
    <row r="199" spans="1:6" x14ac:dyDescent="0.25">
      <c r="A199" s="1">
        <v>43411</v>
      </c>
      <c r="B199" s="2">
        <v>6468.5</v>
      </c>
      <c r="C199" s="2">
        <v>218.9</v>
      </c>
      <c r="D199" s="2">
        <v>56.04</v>
      </c>
      <c r="E199" s="2">
        <v>630.17999999999995</v>
      </c>
      <c r="F199" s="2">
        <v>170.12</v>
      </c>
    </row>
    <row r="200" spans="1:6" x14ac:dyDescent="0.25">
      <c r="A200" s="1">
        <v>43410</v>
      </c>
      <c r="B200" s="2">
        <v>6433.38</v>
      </c>
      <c r="C200" s="2">
        <v>209.47</v>
      </c>
      <c r="D200" s="2">
        <v>53.7</v>
      </c>
      <c r="E200" s="2">
        <v>558.54999999999995</v>
      </c>
      <c r="F200" s="2">
        <v>164.86</v>
      </c>
    </row>
    <row r="201" spans="1:6" x14ac:dyDescent="0.25">
      <c r="A201" s="1">
        <v>43409</v>
      </c>
      <c r="B201" s="2">
        <v>6363.62</v>
      </c>
      <c r="C201" s="2">
        <v>207.1</v>
      </c>
      <c r="D201" s="2">
        <v>53.59</v>
      </c>
      <c r="E201" s="2">
        <v>557.72</v>
      </c>
      <c r="F201" s="2">
        <v>161.58000000000001</v>
      </c>
    </row>
    <row r="202" spans="1:6" x14ac:dyDescent="0.25">
      <c r="A202" s="1">
        <v>43408</v>
      </c>
      <c r="B202" s="2">
        <v>6365.47</v>
      </c>
      <c r="C202" s="2">
        <v>200.16</v>
      </c>
      <c r="D202" s="2">
        <v>50.99</v>
      </c>
      <c r="E202" s="2">
        <v>478.54</v>
      </c>
      <c r="F202" s="2">
        <v>154.87</v>
      </c>
    </row>
    <row r="203" spans="1:6" x14ac:dyDescent="0.25">
      <c r="A203" s="1">
        <v>43407</v>
      </c>
      <c r="B203" s="2">
        <v>6387.24</v>
      </c>
      <c r="C203" s="2">
        <v>200.74</v>
      </c>
      <c r="D203" s="2">
        <v>51.3</v>
      </c>
      <c r="E203" s="2">
        <v>461.77</v>
      </c>
      <c r="F203" s="2">
        <v>154.34</v>
      </c>
    </row>
    <row r="204" spans="1:6" x14ac:dyDescent="0.25">
      <c r="A204" s="1">
        <v>43406</v>
      </c>
      <c r="B204" s="2">
        <v>6378.92</v>
      </c>
      <c r="C204" s="2">
        <v>198.98</v>
      </c>
      <c r="D204" s="2">
        <v>50.34</v>
      </c>
      <c r="E204" s="2">
        <v>424.24</v>
      </c>
      <c r="F204" s="2">
        <v>153.63</v>
      </c>
    </row>
    <row r="205" spans="1:6" x14ac:dyDescent="0.25">
      <c r="A205" s="1">
        <v>43405</v>
      </c>
      <c r="B205" s="2">
        <v>6318.14</v>
      </c>
      <c r="C205" s="2">
        <v>197.54</v>
      </c>
      <c r="D205" s="2">
        <v>49.56</v>
      </c>
      <c r="E205" s="2">
        <v>423.07</v>
      </c>
      <c r="F205" s="2">
        <v>151.91</v>
      </c>
    </row>
    <row r="206" spans="1:6" x14ac:dyDescent="0.25">
      <c r="A206" s="1">
        <v>43404</v>
      </c>
      <c r="B206" s="2">
        <v>6336.99</v>
      </c>
      <c r="C206" s="2">
        <v>197.65</v>
      </c>
      <c r="D206" s="2">
        <v>49.34</v>
      </c>
      <c r="E206" s="2">
        <v>422.23</v>
      </c>
      <c r="F206" s="2">
        <v>153.36000000000001</v>
      </c>
    </row>
    <row r="207" spans="1:6" x14ac:dyDescent="0.25">
      <c r="A207" s="1">
        <v>43403</v>
      </c>
      <c r="B207" s="2">
        <v>6337.04</v>
      </c>
      <c r="C207" s="2">
        <v>197.2</v>
      </c>
      <c r="D207" s="2">
        <v>49</v>
      </c>
      <c r="E207" s="2">
        <v>417.69</v>
      </c>
      <c r="F207" s="2">
        <v>150.25</v>
      </c>
    </row>
    <row r="208" spans="1:6" x14ac:dyDescent="0.25">
      <c r="A208" s="1">
        <v>43402</v>
      </c>
      <c r="B208" s="2">
        <v>6492.35</v>
      </c>
      <c r="C208" s="2">
        <v>205.17</v>
      </c>
      <c r="D208" s="2">
        <v>51.83</v>
      </c>
      <c r="E208" s="2">
        <v>440.21</v>
      </c>
      <c r="F208" s="2">
        <v>156.07</v>
      </c>
    </row>
    <row r="209" spans="1:6" x14ac:dyDescent="0.25">
      <c r="A209" s="1">
        <v>43401</v>
      </c>
      <c r="B209" s="2">
        <v>6482.66</v>
      </c>
      <c r="C209" s="2">
        <v>204.51</v>
      </c>
      <c r="D209" s="2">
        <v>52.05</v>
      </c>
      <c r="E209" s="2">
        <v>438.89</v>
      </c>
      <c r="F209" s="2">
        <v>153.63999999999999</v>
      </c>
    </row>
    <row r="210" spans="1:6" x14ac:dyDescent="0.25">
      <c r="A210" s="1">
        <v>43400</v>
      </c>
      <c r="B210" s="2">
        <v>6480.84</v>
      </c>
      <c r="C210" s="2">
        <v>203.36</v>
      </c>
      <c r="D210" s="2">
        <v>52.13</v>
      </c>
      <c r="E210" s="2">
        <v>438.6</v>
      </c>
      <c r="F210" s="2">
        <v>155.38</v>
      </c>
    </row>
    <row r="211" spans="1:6" x14ac:dyDescent="0.25">
      <c r="A211" s="1">
        <v>43399</v>
      </c>
      <c r="B211" s="2">
        <v>6468.44</v>
      </c>
      <c r="C211" s="2">
        <v>202.34</v>
      </c>
      <c r="D211" s="2">
        <v>52.22</v>
      </c>
      <c r="E211" s="2">
        <v>439.12</v>
      </c>
      <c r="F211" s="2">
        <v>154.77000000000001</v>
      </c>
    </row>
    <row r="212" spans="1:6" x14ac:dyDescent="0.25">
      <c r="A212" s="1">
        <v>43398</v>
      </c>
      <c r="B212" s="2">
        <v>6484.65</v>
      </c>
      <c r="C212" s="2">
        <v>203.87</v>
      </c>
      <c r="D212" s="2">
        <v>52.49</v>
      </c>
      <c r="E212" s="2">
        <v>442.18</v>
      </c>
      <c r="F212" s="2">
        <v>155.99</v>
      </c>
    </row>
    <row r="213" spans="1:6" x14ac:dyDescent="0.25">
      <c r="A213" s="1">
        <v>43397</v>
      </c>
      <c r="B213" s="2">
        <v>6478.89</v>
      </c>
      <c r="C213" s="2">
        <v>204.13</v>
      </c>
      <c r="D213" s="2">
        <v>52.46</v>
      </c>
      <c r="E213" s="2">
        <v>441.27</v>
      </c>
      <c r="F213" s="2">
        <v>153.47</v>
      </c>
    </row>
    <row r="214" spans="1:6" x14ac:dyDescent="0.25">
      <c r="A214" s="1">
        <v>43396</v>
      </c>
      <c r="B214" s="2">
        <v>6472.36</v>
      </c>
      <c r="C214" s="2">
        <v>204.02</v>
      </c>
      <c r="D214" s="2">
        <v>52.24</v>
      </c>
      <c r="E214" s="2">
        <v>447.17</v>
      </c>
      <c r="F214" s="2">
        <v>151.69</v>
      </c>
    </row>
    <row r="215" spans="1:6" x14ac:dyDescent="0.25">
      <c r="A215" s="1">
        <v>43395</v>
      </c>
      <c r="B215" s="2">
        <v>6486.05</v>
      </c>
      <c r="C215" s="2">
        <v>205.17</v>
      </c>
      <c r="D215" s="2">
        <v>52.78</v>
      </c>
      <c r="E215" s="2">
        <v>447.19</v>
      </c>
      <c r="F215" s="2">
        <v>154.38999999999999</v>
      </c>
    </row>
    <row r="216" spans="1:6" x14ac:dyDescent="0.25">
      <c r="A216" s="1">
        <v>43394</v>
      </c>
      <c r="B216" s="2">
        <v>6490.09</v>
      </c>
      <c r="C216" s="2">
        <v>205.39</v>
      </c>
      <c r="D216" s="2">
        <v>53.43</v>
      </c>
      <c r="E216" s="2">
        <v>447.54</v>
      </c>
      <c r="F216" s="2">
        <v>154.76</v>
      </c>
    </row>
    <row r="217" spans="1:6" x14ac:dyDescent="0.25">
      <c r="A217" s="1">
        <v>43393</v>
      </c>
      <c r="B217" s="2">
        <v>6460.92</v>
      </c>
      <c r="C217" s="2">
        <v>203.51</v>
      </c>
      <c r="D217" s="2">
        <v>53.07</v>
      </c>
      <c r="E217" s="2">
        <v>440.87</v>
      </c>
      <c r="F217" s="2">
        <v>153.05000000000001</v>
      </c>
    </row>
    <row r="218" spans="1:6" x14ac:dyDescent="0.25">
      <c r="A218" s="1">
        <v>43392</v>
      </c>
      <c r="B218" s="2">
        <v>6478.07</v>
      </c>
      <c r="C218" s="2">
        <v>203.26</v>
      </c>
      <c r="D218" s="2">
        <v>52.55</v>
      </c>
      <c r="E218" s="2">
        <v>438.31</v>
      </c>
      <c r="F218" s="2">
        <v>154.4</v>
      </c>
    </row>
    <row r="219" spans="1:6" x14ac:dyDescent="0.25">
      <c r="A219" s="1">
        <v>43391</v>
      </c>
      <c r="B219" s="2">
        <v>6542.33</v>
      </c>
      <c r="C219" s="2">
        <v>207.4</v>
      </c>
      <c r="D219" s="2">
        <v>53.72</v>
      </c>
      <c r="E219" s="2">
        <v>449.22</v>
      </c>
      <c r="F219" s="2">
        <v>159.87</v>
      </c>
    </row>
    <row r="220" spans="1:6" x14ac:dyDescent="0.25">
      <c r="A220" s="1">
        <v>43390</v>
      </c>
      <c r="B220" s="2">
        <v>6590.52</v>
      </c>
      <c r="C220" s="2">
        <v>210.22</v>
      </c>
      <c r="D220" s="2">
        <v>54.26</v>
      </c>
      <c r="E220" s="2">
        <v>458.85</v>
      </c>
      <c r="F220" s="2">
        <v>163.21</v>
      </c>
    </row>
    <row r="221" spans="1:6" x14ac:dyDescent="0.25">
      <c r="A221" s="1">
        <v>43389</v>
      </c>
      <c r="B221" s="2">
        <v>6601.41</v>
      </c>
      <c r="C221" s="2">
        <v>209.63</v>
      </c>
      <c r="D221" s="2">
        <v>54.97</v>
      </c>
      <c r="E221" s="2">
        <v>459.32</v>
      </c>
      <c r="F221" s="2">
        <v>165.21</v>
      </c>
    </row>
    <row r="222" spans="1:6" x14ac:dyDescent="0.25">
      <c r="A222" s="1">
        <v>43388</v>
      </c>
      <c r="B222" s="2">
        <v>6292.64</v>
      </c>
      <c r="C222" s="2">
        <v>195.27</v>
      </c>
      <c r="D222" s="2">
        <v>52.17</v>
      </c>
      <c r="E222" s="2">
        <v>438.65</v>
      </c>
      <c r="F222" s="2">
        <v>157.16999999999999</v>
      </c>
    </row>
    <row r="223" spans="1:6" x14ac:dyDescent="0.25">
      <c r="A223" s="1">
        <v>43387</v>
      </c>
      <c r="B223" s="2">
        <v>6288.49</v>
      </c>
      <c r="C223" s="2">
        <v>199.69</v>
      </c>
      <c r="D223" s="2">
        <v>53.51</v>
      </c>
      <c r="E223" s="2">
        <v>448.19</v>
      </c>
      <c r="F223" s="2">
        <v>161.21</v>
      </c>
    </row>
    <row r="224" spans="1:6" x14ac:dyDescent="0.25">
      <c r="A224" s="1">
        <v>43386</v>
      </c>
      <c r="B224" s="2">
        <v>6278.08</v>
      </c>
      <c r="C224" s="2">
        <v>196.36</v>
      </c>
      <c r="D224" s="2">
        <v>53.46</v>
      </c>
      <c r="E224" s="2">
        <v>443.18</v>
      </c>
      <c r="F224" s="2">
        <v>157.80000000000001</v>
      </c>
    </row>
    <row r="225" spans="1:6" x14ac:dyDescent="0.25">
      <c r="A225" s="1">
        <v>43385</v>
      </c>
      <c r="B225" s="2">
        <v>6239.25</v>
      </c>
      <c r="C225" s="2">
        <v>188.71</v>
      </c>
      <c r="D225" s="2">
        <v>50.87</v>
      </c>
      <c r="E225" s="2">
        <v>430.35</v>
      </c>
      <c r="F225" s="2">
        <v>156.05000000000001</v>
      </c>
    </row>
    <row r="226" spans="1:6" x14ac:dyDescent="0.25">
      <c r="A226" s="1">
        <v>43384</v>
      </c>
      <c r="B226" s="2">
        <v>6586.74</v>
      </c>
      <c r="C226" s="2">
        <v>225.61</v>
      </c>
      <c r="D226" s="2">
        <v>57.98</v>
      </c>
      <c r="E226" s="2">
        <v>511.77</v>
      </c>
      <c r="F226" s="2">
        <v>178.18</v>
      </c>
    </row>
    <row r="227" spans="1:6" x14ac:dyDescent="0.25">
      <c r="A227" s="1">
        <v>43383</v>
      </c>
      <c r="B227" s="2">
        <v>6640.29</v>
      </c>
      <c r="C227" s="2">
        <v>227.62</v>
      </c>
      <c r="D227" s="2">
        <v>58.66</v>
      </c>
      <c r="E227" s="2">
        <v>516.66</v>
      </c>
      <c r="F227" s="2">
        <v>180.51</v>
      </c>
    </row>
    <row r="228" spans="1:6" x14ac:dyDescent="0.25">
      <c r="A228" s="1">
        <v>43382</v>
      </c>
      <c r="B228" s="2">
        <v>6653.08</v>
      </c>
      <c r="C228" s="2">
        <v>229.71</v>
      </c>
      <c r="D228" s="2">
        <v>59.45</v>
      </c>
      <c r="E228" s="2">
        <v>526.9</v>
      </c>
      <c r="F228" s="2">
        <v>182.59</v>
      </c>
    </row>
    <row r="229" spans="1:6" x14ac:dyDescent="0.25">
      <c r="A229" s="1">
        <v>43381</v>
      </c>
      <c r="B229" s="2">
        <v>6600.19</v>
      </c>
      <c r="C229" s="2">
        <v>226.51</v>
      </c>
      <c r="D229" s="2">
        <v>58.23</v>
      </c>
      <c r="E229" s="2">
        <v>518.71</v>
      </c>
      <c r="F229" s="2">
        <v>180.35</v>
      </c>
    </row>
    <row r="230" spans="1:6" x14ac:dyDescent="0.25">
      <c r="A230" s="1">
        <v>43380</v>
      </c>
      <c r="B230" s="2">
        <v>6590.68</v>
      </c>
      <c r="C230" s="2">
        <v>225.44</v>
      </c>
      <c r="D230" s="2">
        <v>57.93</v>
      </c>
      <c r="E230" s="2">
        <v>509.63</v>
      </c>
      <c r="F230" s="2">
        <v>180.71</v>
      </c>
    </row>
    <row r="231" spans="1:6" x14ac:dyDescent="0.25">
      <c r="A231" s="1">
        <v>43379</v>
      </c>
      <c r="B231" s="2">
        <v>6622.45</v>
      </c>
      <c r="C231" s="2">
        <v>227.55</v>
      </c>
      <c r="D231" s="2">
        <v>58.88</v>
      </c>
      <c r="E231" s="2">
        <v>519.91999999999996</v>
      </c>
      <c r="F231" s="2">
        <v>182.31</v>
      </c>
    </row>
    <row r="232" spans="1:6" x14ac:dyDescent="0.25">
      <c r="A232" s="1">
        <v>43378</v>
      </c>
      <c r="B232" s="2">
        <v>6574.15</v>
      </c>
      <c r="C232" s="2">
        <v>222.27</v>
      </c>
      <c r="D232" s="2">
        <v>58.33</v>
      </c>
      <c r="E232" s="2">
        <v>513.9</v>
      </c>
      <c r="F232" s="2">
        <v>180.66</v>
      </c>
    </row>
    <row r="233" spans="1:6" x14ac:dyDescent="0.25">
      <c r="A233" s="1">
        <v>43377</v>
      </c>
      <c r="B233" s="2">
        <v>6497.91</v>
      </c>
      <c r="C233" s="2">
        <v>220.45</v>
      </c>
      <c r="D233" s="2">
        <v>57.52</v>
      </c>
      <c r="E233" s="2">
        <v>516.79</v>
      </c>
      <c r="F233" s="2">
        <v>177.65</v>
      </c>
    </row>
    <row r="234" spans="1:6" x14ac:dyDescent="0.25">
      <c r="A234" s="1">
        <v>43376</v>
      </c>
      <c r="B234" s="2">
        <v>6553.86</v>
      </c>
      <c r="C234" s="2">
        <v>226.41</v>
      </c>
      <c r="D234" s="2">
        <v>59.58</v>
      </c>
      <c r="E234" s="2">
        <v>531.64</v>
      </c>
      <c r="F234" s="2">
        <v>182</v>
      </c>
    </row>
    <row r="235" spans="1:6" x14ac:dyDescent="0.25">
      <c r="A235" s="1">
        <v>43375</v>
      </c>
      <c r="B235" s="2">
        <v>6593.24</v>
      </c>
      <c r="C235" s="2">
        <v>231.1</v>
      </c>
      <c r="D235" s="2">
        <v>60.3</v>
      </c>
      <c r="E235" s="2">
        <v>531.15</v>
      </c>
      <c r="F235" s="2">
        <v>186.98</v>
      </c>
    </row>
    <row r="236" spans="1:6" x14ac:dyDescent="0.25">
      <c r="A236" s="1">
        <v>43374</v>
      </c>
      <c r="B236" s="2">
        <v>6619.85</v>
      </c>
      <c r="C236" s="2">
        <v>233.22</v>
      </c>
      <c r="D236" s="2">
        <v>61.1</v>
      </c>
      <c r="E236" s="2">
        <v>531.64</v>
      </c>
      <c r="F236" s="2">
        <v>187.17</v>
      </c>
    </row>
    <row r="237" spans="1:6" x14ac:dyDescent="0.25">
      <c r="A237" s="1">
        <v>43373</v>
      </c>
      <c r="B237" s="2">
        <v>6604.71</v>
      </c>
      <c r="C237" s="2">
        <v>231.33</v>
      </c>
      <c r="D237" s="2">
        <v>61.63</v>
      </c>
      <c r="E237" s="2">
        <v>536.55999999999995</v>
      </c>
      <c r="F237" s="2">
        <v>188.5</v>
      </c>
    </row>
    <row r="238" spans="1:6" x14ac:dyDescent="0.25">
      <c r="A238" s="1">
        <v>43372</v>
      </c>
      <c r="B238" s="2">
        <v>6643.1</v>
      </c>
      <c r="C238" s="2">
        <v>221.71</v>
      </c>
      <c r="D238" s="2">
        <v>61.64</v>
      </c>
      <c r="E238" s="2">
        <v>538.99</v>
      </c>
      <c r="F238" s="2">
        <v>187.19</v>
      </c>
    </row>
    <row r="239" spans="1:6" x14ac:dyDescent="0.25">
      <c r="A239" s="1">
        <v>43371</v>
      </c>
      <c r="B239" s="2">
        <v>6678.75</v>
      </c>
      <c r="C239" s="2">
        <v>229.04</v>
      </c>
      <c r="D239" s="2">
        <v>63.17</v>
      </c>
      <c r="E239" s="2">
        <v>568.42999999999995</v>
      </c>
      <c r="F239" s="2">
        <v>194.24</v>
      </c>
    </row>
    <row r="240" spans="1:6" x14ac:dyDescent="0.25">
      <c r="A240" s="1">
        <v>43370</v>
      </c>
      <c r="B240" s="2">
        <v>6495.29</v>
      </c>
      <c r="C240" s="2">
        <v>215.44</v>
      </c>
      <c r="D240" s="2">
        <v>57.45</v>
      </c>
      <c r="E240" s="2">
        <v>514.77</v>
      </c>
      <c r="F240" s="2">
        <v>184.65</v>
      </c>
    </row>
    <row r="241" spans="1:6" x14ac:dyDescent="0.25">
      <c r="A241" s="1">
        <v>43369</v>
      </c>
      <c r="B241" s="2">
        <v>6452.79</v>
      </c>
      <c r="C241" s="2">
        <v>218.65</v>
      </c>
      <c r="D241" s="2">
        <v>57.45</v>
      </c>
      <c r="E241" s="2">
        <v>444.8</v>
      </c>
      <c r="F241" s="2">
        <v>189.37</v>
      </c>
    </row>
    <row r="242" spans="1:6" x14ac:dyDescent="0.25">
      <c r="A242" s="1">
        <v>43368</v>
      </c>
      <c r="B242" s="2">
        <v>6603.64</v>
      </c>
      <c r="C242" s="2">
        <v>228.33</v>
      </c>
      <c r="D242" s="2">
        <v>58.02</v>
      </c>
      <c r="E242" s="2">
        <v>462.11</v>
      </c>
      <c r="F242" s="2">
        <v>197.83</v>
      </c>
    </row>
    <row r="243" spans="1:6" x14ac:dyDescent="0.25">
      <c r="A243" s="1">
        <v>43367</v>
      </c>
      <c r="B243" s="2">
        <v>6704.77</v>
      </c>
      <c r="C243" s="2">
        <v>244.84</v>
      </c>
      <c r="D243" s="2">
        <v>61.34</v>
      </c>
      <c r="E243" s="2">
        <v>487.92</v>
      </c>
      <c r="F243" s="2">
        <v>205.07</v>
      </c>
    </row>
    <row r="244" spans="1:6" x14ac:dyDescent="0.25">
      <c r="A244" s="1">
        <v>43366</v>
      </c>
      <c r="B244" s="2">
        <v>6715.32</v>
      </c>
      <c r="C244" s="2">
        <v>240.99</v>
      </c>
      <c r="D244" s="2">
        <v>60.55</v>
      </c>
      <c r="E244" s="2">
        <v>487.71</v>
      </c>
      <c r="F244" s="2">
        <v>204.88</v>
      </c>
    </row>
    <row r="245" spans="1:6" x14ac:dyDescent="0.25">
      <c r="A245" s="1">
        <v>43365</v>
      </c>
      <c r="B245" s="2">
        <v>6735.05</v>
      </c>
      <c r="C245" s="2">
        <v>247.34</v>
      </c>
      <c r="D245" s="2">
        <v>60.81</v>
      </c>
      <c r="E245" s="2">
        <v>500.35</v>
      </c>
      <c r="F245" s="2">
        <v>208</v>
      </c>
    </row>
    <row r="246" spans="1:6" x14ac:dyDescent="0.25">
      <c r="A246" s="1">
        <v>43364</v>
      </c>
      <c r="B246" s="2">
        <v>6513.87</v>
      </c>
      <c r="C246" s="2">
        <v>225.25</v>
      </c>
      <c r="D246" s="2">
        <v>56.78</v>
      </c>
      <c r="E246" s="2">
        <v>457.52</v>
      </c>
      <c r="F246" s="2">
        <v>200.52</v>
      </c>
    </row>
    <row r="247" spans="1:6" x14ac:dyDescent="0.25">
      <c r="A247" s="1">
        <v>43363</v>
      </c>
      <c r="B247" s="2">
        <v>6398.85</v>
      </c>
      <c r="C247" s="2">
        <v>210.29</v>
      </c>
      <c r="D247" s="2">
        <v>54.37</v>
      </c>
      <c r="E247" s="2">
        <v>429.81</v>
      </c>
      <c r="F247" s="2">
        <v>191.41</v>
      </c>
    </row>
    <row r="248" spans="1:6" x14ac:dyDescent="0.25">
      <c r="A248" s="1">
        <v>43362</v>
      </c>
      <c r="B248" s="2">
        <v>6371.85</v>
      </c>
      <c r="C248" s="2">
        <v>209.47</v>
      </c>
      <c r="D248" s="2">
        <v>54.02</v>
      </c>
      <c r="E248" s="2">
        <v>433.19</v>
      </c>
      <c r="F248" s="2">
        <v>191.51</v>
      </c>
    </row>
    <row r="249" spans="1:6" x14ac:dyDescent="0.25">
      <c r="A249" s="1">
        <v>43361</v>
      </c>
      <c r="B249" s="2">
        <v>6280.91</v>
      </c>
      <c r="C249" s="2">
        <v>197.09</v>
      </c>
      <c r="D249" s="2">
        <v>52.29</v>
      </c>
      <c r="E249" s="2">
        <v>418.56</v>
      </c>
      <c r="F249" s="2">
        <v>183.5</v>
      </c>
    </row>
    <row r="250" spans="1:6" x14ac:dyDescent="0.25">
      <c r="A250" s="1">
        <v>43360</v>
      </c>
      <c r="B250" s="2">
        <v>6514.06</v>
      </c>
      <c r="C250" s="2">
        <v>221.58</v>
      </c>
      <c r="D250" s="2">
        <v>57.02</v>
      </c>
      <c r="E250" s="2">
        <v>450.38</v>
      </c>
      <c r="F250" s="2">
        <v>193.24</v>
      </c>
    </row>
    <row r="251" spans="1:6" x14ac:dyDescent="0.25">
      <c r="A251" s="1">
        <v>43359</v>
      </c>
      <c r="B251" s="2">
        <v>6536.68</v>
      </c>
      <c r="C251" s="2">
        <v>222.8</v>
      </c>
      <c r="D251" s="2">
        <v>56.58</v>
      </c>
      <c r="E251" s="2">
        <v>448.51</v>
      </c>
      <c r="F251" s="2">
        <v>191.92</v>
      </c>
    </row>
    <row r="252" spans="1:6" x14ac:dyDescent="0.25">
      <c r="A252" s="1">
        <v>43358</v>
      </c>
      <c r="B252" s="2">
        <v>6509.4</v>
      </c>
      <c r="C252" s="2">
        <v>209.81</v>
      </c>
      <c r="D252" s="2">
        <v>56.34</v>
      </c>
      <c r="E252" s="2">
        <v>447.58</v>
      </c>
      <c r="F252" s="2">
        <v>190.87</v>
      </c>
    </row>
    <row r="253" spans="1:6" x14ac:dyDescent="0.25">
      <c r="A253" s="1">
        <v>43357</v>
      </c>
      <c r="B253" s="2">
        <v>6515.41</v>
      </c>
      <c r="C253" s="2">
        <v>212.67</v>
      </c>
      <c r="D253" s="2">
        <v>54.65</v>
      </c>
      <c r="E253" s="2">
        <v>467.13</v>
      </c>
      <c r="F253" s="2">
        <v>193.05</v>
      </c>
    </row>
    <row r="254" spans="1:6" x14ac:dyDescent="0.25">
      <c r="A254" s="1">
        <v>43356</v>
      </c>
      <c r="B254" s="2">
        <v>6354.24</v>
      </c>
      <c r="C254" s="2">
        <v>183.68</v>
      </c>
      <c r="D254" s="2">
        <v>51.88</v>
      </c>
      <c r="E254" s="2">
        <v>433.54</v>
      </c>
      <c r="F254" s="2">
        <v>185.44</v>
      </c>
    </row>
    <row r="255" spans="1:6" x14ac:dyDescent="0.25">
      <c r="A255" s="1">
        <v>43355</v>
      </c>
      <c r="B255" s="2">
        <v>6317.01</v>
      </c>
      <c r="C255" s="2">
        <v>185.42</v>
      </c>
      <c r="D255" s="2">
        <v>52.39</v>
      </c>
      <c r="E255" s="2">
        <v>440.51</v>
      </c>
      <c r="F255" s="2">
        <v>187.62</v>
      </c>
    </row>
    <row r="256" spans="1:6" x14ac:dyDescent="0.25">
      <c r="A256" s="1">
        <v>43354</v>
      </c>
      <c r="B256" s="2">
        <v>6331.88</v>
      </c>
      <c r="C256" s="2">
        <v>198.18</v>
      </c>
      <c r="D256" s="2">
        <v>54.61</v>
      </c>
      <c r="E256" s="2">
        <v>468.35</v>
      </c>
      <c r="F256" s="2">
        <v>202.2</v>
      </c>
    </row>
    <row r="257" spans="1:6" x14ac:dyDescent="0.25">
      <c r="A257" s="1">
        <v>43353</v>
      </c>
      <c r="B257" s="2">
        <v>6301.57</v>
      </c>
      <c r="C257" s="2">
        <v>197.85</v>
      </c>
      <c r="D257" s="2">
        <v>54.99</v>
      </c>
      <c r="E257" s="2">
        <v>484.22</v>
      </c>
      <c r="F257" s="2">
        <v>193.92</v>
      </c>
    </row>
    <row r="258" spans="1:6" x14ac:dyDescent="0.25">
      <c r="A258" s="1">
        <v>43352</v>
      </c>
      <c r="B258" s="2">
        <v>6223.38</v>
      </c>
      <c r="C258" s="2">
        <v>198.38</v>
      </c>
      <c r="D258" s="2">
        <v>53.27</v>
      </c>
      <c r="E258" s="2">
        <v>474.63</v>
      </c>
      <c r="F258" s="2">
        <v>185.95</v>
      </c>
    </row>
    <row r="259" spans="1:6" x14ac:dyDescent="0.25">
      <c r="A259" s="1">
        <v>43351</v>
      </c>
      <c r="B259" s="2">
        <v>6460.17</v>
      </c>
      <c r="C259" s="2">
        <v>217.91</v>
      </c>
      <c r="D259" s="2">
        <v>56.13</v>
      </c>
      <c r="E259" s="2">
        <v>501.82</v>
      </c>
      <c r="F259" s="2">
        <v>187.74</v>
      </c>
    </row>
    <row r="260" spans="1:6" x14ac:dyDescent="0.25">
      <c r="A260" s="1">
        <v>43350</v>
      </c>
      <c r="B260" s="2">
        <v>6528.92</v>
      </c>
      <c r="C260" s="2">
        <v>229.53</v>
      </c>
      <c r="D260" s="2">
        <v>57.34</v>
      </c>
      <c r="E260" s="2">
        <v>518.77</v>
      </c>
      <c r="F260" s="2">
        <v>180.67</v>
      </c>
    </row>
    <row r="261" spans="1:6" x14ac:dyDescent="0.25">
      <c r="A261" s="1">
        <v>43349</v>
      </c>
      <c r="B261" s="2">
        <v>6755.14</v>
      </c>
      <c r="C261" s="2">
        <v>231.65</v>
      </c>
      <c r="D261" s="2">
        <v>58.32</v>
      </c>
      <c r="E261" s="2">
        <v>529.95000000000005</v>
      </c>
      <c r="F261" s="2">
        <v>174.84</v>
      </c>
    </row>
    <row r="262" spans="1:6" x14ac:dyDescent="0.25">
      <c r="A262" s="1">
        <v>43348</v>
      </c>
      <c r="B262" s="2">
        <v>7361.46</v>
      </c>
      <c r="C262" s="2">
        <v>286.05</v>
      </c>
      <c r="D262" s="2">
        <v>67.67</v>
      </c>
      <c r="E262" s="2">
        <v>626.20000000000005</v>
      </c>
      <c r="F262" s="2">
        <v>216.68</v>
      </c>
    </row>
    <row r="263" spans="1:6" x14ac:dyDescent="0.25">
      <c r="A263" s="1">
        <v>43347</v>
      </c>
      <c r="B263" s="2">
        <v>7263</v>
      </c>
      <c r="C263" s="2">
        <v>289.3</v>
      </c>
      <c r="D263" s="2">
        <v>65.319999999999993</v>
      </c>
      <c r="E263" s="2">
        <v>627.32000000000005</v>
      </c>
      <c r="F263" s="2">
        <v>217.06</v>
      </c>
    </row>
    <row r="264" spans="1:6" x14ac:dyDescent="0.25">
      <c r="A264" s="1">
        <v>43346</v>
      </c>
      <c r="B264" s="2">
        <v>7279.03</v>
      </c>
      <c r="C264" s="2">
        <v>295.18</v>
      </c>
      <c r="D264" s="2">
        <v>65.819999999999993</v>
      </c>
      <c r="E264" s="2">
        <v>648.33000000000004</v>
      </c>
      <c r="F264" s="2">
        <v>213.15</v>
      </c>
    </row>
    <row r="265" spans="1:6" x14ac:dyDescent="0.25">
      <c r="A265" s="1">
        <v>43345</v>
      </c>
      <c r="B265" s="2">
        <v>7189.58</v>
      </c>
      <c r="C265" s="2">
        <v>295.45</v>
      </c>
      <c r="D265" s="2">
        <v>65.98</v>
      </c>
      <c r="E265" s="2">
        <v>616.03</v>
      </c>
      <c r="F265" s="2">
        <v>220.88</v>
      </c>
    </row>
    <row r="266" spans="1:6" x14ac:dyDescent="0.25">
      <c r="A266" s="1">
        <v>43344</v>
      </c>
      <c r="B266" s="2">
        <v>7044.81</v>
      </c>
      <c r="C266" s="2">
        <v>283.5</v>
      </c>
      <c r="D266" s="2">
        <v>61.74</v>
      </c>
      <c r="E266" s="2">
        <v>543.96</v>
      </c>
      <c r="F266" s="2">
        <v>194.56</v>
      </c>
    </row>
    <row r="267" spans="1:6" x14ac:dyDescent="0.25">
      <c r="A267" s="1">
        <v>43343</v>
      </c>
      <c r="B267" s="2">
        <v>6973.97</v>
      </c>
      <c r="C267" s="2">
        <v>284.12</v>
      </c>
      <c r="D267" s="2">
        <v>60.42</v>
      </c>
      <c r="E267" s="2">
        <v>538.62</v>
      </c>
      <c r="F267" s="2">
        <v>183.53</v>
      </c>
    </row>
    <row r="268" spans="1:6" x14ac:dyDescent="0.25">
      <c r="A268" s="1">
        <v>43342</v>
      </c>
      <c r="B268" s="2">
        <v>7043.76</v>
      </c>
      <c r="C268" s="2">
        <v>289.75</v>
      </c>
      <c r="D268" s="2">
        <v>61.77</v>
      </c>
      <c r="E268" s="2">
        <v>554.07000000000005</v>
      </c>
      <c r="F268" s="2">
        <v>187.63</v>
      </c>
    </row>
    <row r="269" spans="1:6" x14ac:dyDescent="0.25">
      <c r="A269" s="1">
        <v>43341</v>
      </c>
      <c r="B269" s="2">
        <v>7091.71</v>
      </c>
      <c r="C269" s="2">
        <v>296.16000000000003</v>
      </c>
      <c r="D269" s="2">
        <v>63.03</v>
      </c>
      <c r="E269" s="2">
        <v>564.41</v>
      </c>
      <c r="F269" s="2">
        <v>194.01</v>
      </c>
    </row>
    <row r="270" spans="1:6" x14ac:dyDescent="0.25">
      <c r="A270" s="1">
        <v>43340</v>
      </c>
      <c r="B270" s="2">
        <v>6891.08</v>
      </c>
      <c r="C270" s="2">
        <v>286.64999999999998</v>
      </c>
      <c r="D270" s="2">
        <v>60.23</v>
      </c>
      <c r="E270" s="2">
        <v>545.08000000000004</v>
      </c>
      <c r="F270" s="2">
        <v>182.13</v>
      </c>
    </row>
    <row r="271" spans="1:6" x14ac:dyDescent="0.25">
      <c r="A271" s="1">
        <v>43339</v>
      </c>
      <c r="B271" s="2">
        <v>6710.8</v>
      </c>
      <c r="C271" s="2">
        <v>275.35000000000002</v>
      </c>
      <c r="D271" s="2">
        <v>57.26</v>
      </c>
      <c r="E271" s="2">
        <v>523.02</v>
      </c>
      <c r="F271" s="2">
        <v>141.86000000000001</v>
      </c>
    </row>
    <row r="272" spans="1:6" x14ac:dyDescent="0.25">
      <c r="A272" s="1">
        <v>43338</v>
      </c>
      <c r="B272" s="2">
        <v>6754.64</v>
      </c>
      <c r="C272" s="2">
        <v>279.52</v>
      </c>
      <c r="D272" s="2">
        <v>58.05</v>
      </c>
      <c r="E272" s="2">
        <v>536.49</v>
      </c>
      <c r="F272" s="2">
        <v>144.91999999999999</v>
      </c>
    </row>
    <row r="273" spans="1:6" x14ac:dyDescent="0.25">
      <c r="A273" s="1">
        <v>43337</v>
      </c>
      <c r="B273" s="2">
        <v>6719.95</v>
      </c>
      <c r="C273" s="2">
        <v>283.27999999999997</v>
      </c>
      <c r="D273" s="2">
        <v>57.92</v>
      </c>
      <c r="E273" s="2">
        <v>534.99</v>
      </c>
      <c r="F273" s="2">
        <v>144.97999999999999</v>
      </c>
    </row>
    <row r="274" spans="1:6" x14ac:dyDescent="0.25">
      <c r="A274" s="1">
        <v>43336</v>
      </c>
      <c r="B274" s="2">
        <v>6551.52</v>
      </c>
      <c r="C274" s="2">
        <v>278.11</v>
      </c>
      <c r="D274" s="2">
        <v>57.6</v>
      </c>
      <c r="E274" s="2">
        <v>531.54999999999995</v>
      </c>
      <c r="F274" s="2">
        <v>140.75</v>
      </c>
    </row>
    <row r="275" spans="1:6" x14ac:dyDescent="0.25">
      <c r="A275" s="1">
        <v>43335</v>
      </c>
      <c r="B275" s="2">
        <v>6371.34</v>
      </c>
      <c r="C275" s="2">
        <v>271.75</v>
      </c>
      <c r="D275" s="2">
        <v>55.19</v>
      </c>
      <c r="E275" s="2">
        <v>519.12</v>
      </c>
      <c r="F275" s="2">
        <v>136.72</v>
      </c>
    </row>
    <row r="276" spans="1:6" x14ac:dyDescent="0.25">
      <c r="A276" s="1">
        <v>43334</v>
      </c>
      <c r="B276" s="2">
        <v>6486.25</v>
      </c>
      <c r="C276" s="2">
        <v>281.97000000000003</v>
      </c>
      <c r="D276" s="2">
        <v>56.66</v>
      </c>
      <c r="E276" s="2">
        <v>535.15</v>
      </c>
      <c r="F276" s="2">
        <v>141.71</v>
      </c>
    </row>
    <row r="277" spans="1:6" x14ac:dyDescent="0.25">
      <c r="A277" s="1">
        <v>43333</v>
      </c>
      <c r="B277" s="2">
        <v>6301.07</v>
      </c>
      <c r="C277" s="2">
        <v>273.33</v>
      </c>
      <c r="D277" s="2">
        <v>53.77</v>
      </c>
      <c r="E277" s="2">
        <v>514.05999999999995</v>
      </c>
      <c r="F277" s="2">
        <v>142.54</v>
      </c>
    </row>
    <row r="278" spans="1:6" x14ac:dyDescent="0.25">
      <c r="A278" s="1">
        <v>43332</v>
      </c>
      <c r="B278" s="2">
        <v>6500.51</v>
      </c>
      <c r="C278" s="2">
        <v>301.38</v>
      </c>
      <c r="D278" s="2">
        <v>57.91</v>
      </c>
      <c r="E278" s="2">
        <v>570.11</v>
      </c>
      <c r="F278" s="2">
        <v>155.31</v>
      </c>
    </row>
    <row r="279" spans="1:6" x14ac:dyDescent="0.25">
      <c r="A279" s="1">
        <v>43331</v>
      </c>
      <c r="B279" s="2">
        <v>6422.57</v>
      </c>
      <c r="C279" s="2">
        <v>295.67</v>
      </c>
      <c r="D279" s="2">
        <v>57.22</v>
      </c>
      <c r="E279" s="2">
        <v>554.92999999999995</v>
      </c>
      <c r="F279" s="2">
        <v>152.22</v>
      </c>
    </row>
    <row r="280" spans="1:6" x14ac:dyDescent="0.25">
      <c r="A280" s="1">
        <v>43330</v>
      </c>
      <c r="B280" s="2">
        <v>6583.43</v>
      </c>
      <c r="C280" s="2">
        <v>316.79000000000002</v>
      </c>
      <c r="D280" s="2">
        <v>61.56</v>
      </c>
      <c r="E280" s="2">
        <v>597.66999999999996</v>
      </c>
      <c r="F280" s="2">
        <v>166.4</v>
      </c>
    </row>
    <row r="281" spans="1:6" x14ac:dyDescent="0.25">
      <c r="A281" s="1">
        <v>43329</v>
      </c>
      <c r="B281" s="2">
        <v>6340.91</v>
      </c>
      <c r="C281" s="2">
        <v>287.68</v>
      </c>
      <c r="D281" s="2">
        <v>55.33</v>
      </c>
      <c r="E281" s="2">
        <v>516.55999999999995</v>
      </c>
      <c r="F281" s="2">
        <v>151.79</v>
      </c>
    </row>
    <row r="282" spans="1:6" x14ac:dyDescent="0.25">
      <c r="A282" s="1">
        <v>43328</v>
      </c>
      <c r="B282" s="2">
        <v>6294.23</v>
      </c>
      <c r="C282" s="2">
        <v>282.74</v>
      </c>
      <c r="D282" s="2">
        <v>54.54</v>
      </c>
      <c r="E282" s="2">
        <v>512.87</v>
      </c>
      <c r="F282" s="2">
        <v>153.35</v>
      </c>
    </row>
    <row r="283" spans="1:6" x14ac:dyDescent="0.25">
      <c r="A283" s="1">
        <v>43327</v>
      </c>
      <c r="B283" s="2">
        <v>6221.42</v>
      </c>
      <c r="C283" s="2">
        <v>280.39</v>
      </c>
      <c r="D283" s="2">
        <v>54.68</v>
      </c>
      <c r="E283" s="2">
        <v>513.25</v>
      </c>
      <c r="F283" s="2">
        <v>139.30000000000001</v>
      </c>
    </row>
    <row r="284" spans="1:6" x14ac:dyDescent="0.25">
      <c r="A284" s="1">
        <v>43326</v>
      </c>
      <c r="B284" s="2">
        <v>6287.66</v>
      </c>
      <c r="C284" s="2">
        <v>286.37</v>
      </c>
      <c r="D284" s="2">
        <v>57</v>
      </c>
      <c r="E284" s="2">
        <v>534.98</v>
      </c>
      <c r="F284" s="2">
        <v>145.09</v>
      </c>
    </row>
    <row r="285" spans="1:6" x14ac:dyDescent="0.25">
      <c r="A285" s="1">
        <v>43325</v>
      </c>
      <c r="B285" s="2">
        <v>6341.36</v>
      </c>
      <c r="C285" s="2">
        <v>320.20999999999998</v>
      </c>
      <c r="D285" s="2">
        <v>59.48</v>
      </c>
      <c r="E285" s="2">
        <v>571.02</v>
      </c>
      <c r="F285" s="2">
        <v>168.12</v>
      </c>
    </row>
    <row r="286" spans="1:6" x14ac:dyDescent="0.25">
      <c r="A286" s="1">
        <v>43324</v>
      </c>
      <c r="B286" s="2">
        <v>6283.65</v>
      </c>
      <c r="C286" s="2">
        <v>320.82</v>
      </c>
      <c r="D286" s="2">
        <v>58.22</v>
      </c>
      <c r="E286" s="2">
        <v>564.44000000000005</v>
      </c>
      <c r="F286" s="2">
        <v>165.62</v>
      </c>
    </row>
    <row r="287" spans="1:6" x14ac:dyDescent="0.25">
      <c r="A287" s="1">
        <v>43323</v>
      </c>
      <c r="B287" s="2">
        <v>6185.79</v>
      </c>
      <c r="C287" s="2">
        <v>334.26</v>
      </c>
      <c r="D287" s="2">
        <v>59.49</v>
      </c>
      <c r="E287" s="2">
        <v>571.89</v>
      </c>
      <c r="F287" s="2">
        <v>169.19</v>
      </c>
    </row>
    <row r="288" spans="1:6" x14ac:dyDescent="0.25">
      <c r="A288" s="1">
        <v>43322</v>
      </c>
      <c r="B288" s="2">
        <v>6571.42</v>
      </c>
      <c r="C288" s="2">
        <v>365.78</v>
      </c>
      <c r="D288" s="2">
        <v>63.98</v>
      </c>
      <c r="E288" s="2">
        <v>610.35</v>
      </c>
      <c r="F288" s="2">
        <v>183.77</v>
      </c>
    </row>
    <row r="289" spans="1:6" x14ac:dyDescent="0.25">
      <c r="A289" s="1">
        <v>43321</v>
      </c>
      <c r="B289" s="2">
        <v>6305.56</v>
      </c>
      <c r="C289" s="2">
        <v>356.97</v>
      </c>
      <c r="D289" s="2">
        <v>62.47</v>
      </c>
      <c r="E289" s="2">
        <v>590.52</v>
      </c>
      <c r="F289" s="2">
        <v>173.48</v>
      </c>
    </row>
    <row r="290" spans="1:6" x14ac:dyDescent="0.25">
      <c r="A290" s="1">
        <v>43320</v>
      </c>
      <c r="B290" s="2">
        <v>6746.85</v>
      </c>
      <c r="C290" s="2">
        <v>379.89</v>
      </c>
      <c r="D290" s="2">
        <v>68.16</v>
      </c>
      <c r="E290" s="2">
        <v>660.05</v>
      </c>
      <c r="F290" s="2">
        <v>187.42</v>
      </c>
    </row>
    <row r="291" spans="1:6" x14ac:dyDescent="0.25">
      <c r="A291" s="1">
        <v>43319</v>
      </c>
      <c r="B291" s="2">
        <v>6958.32</v>
      </c>
      <c r="C291" s="2">
        <v>406.8</v>
      </c>
      <c r="D291" s="2">
        <v>74</v>
      </c>
      <c r="E291" s="2">
        <v>692.63</v>
      </c>
      <c r="F291" s="2">
        <v>199.5</v>
      </c>
    </row>
    <row r="292" spans="1:6" x14ac:dyDescent="0.25">
      <c r="A292" s="1">
        <v>43318</v>
      </c>
      <c r="B292" s="2">
        <v>7062.94</v>
      </c>
      <c r="C292" s="2">
        <v>410.57</v>
      </c>
      <c r="D292" s="2">
        <v>75.06</v>
      </c>
      <c r="E292" s="2">
        <v>711.01</v>
      </c>
      <c r="F292" s="2">
        <v>207.16</v>
      </c>
    </row>
    <row r="293" spans="1:6" x14ac:dyDescent="0.25">
      <c r="A293" s="1">
        <v>43317</v>
      </c>
      <c r="B293" s="2">
        <v>7031.08</v>
      </c>
      <c r="C293" s="2">
        <v>407.35</v>
      </c>
      <c r="D293" s="2">
        <v>73.38</v>
      </c>
      <c r="E293" s="2">
        <v>696.07</v>
      </c>
      <c r="F293" s="2">
        <v>202.32</v>
      </c>
    </row>
    <row r="294" spans="1:6" x14ac:dyDescent="0.25">
      <c r="A294" s="1">
        <v>43316</v>
      </c>
      <c r="B294" s="2">
        <v>7438.67</v>
      </c>
      <c r="C294" s="2">
        <v>418.24</v>
      </c>
      <c r="D294" s="2">
        <v>77.42</v>
      </c>
      <c r="E294" s="2">
        <v>723.27</v>
      </c>
      <c r="F294" s="2">
        <v>210.46</v>
      </c>
    </row>
    <row r="295" spans="1:6" x14ac:dyDescent="0.25">
      <c r="A295" s="1">
        <v>43315</v>
      </c>
      <c r="B295" s="2">
        <v>7562.14</v>
      </c>
      <c r="C295" s="2">
        <v>412.57</v>
      </c>
      <c r="D295" s="2">
        <v>76.3</v>
      </c>
      <c r="E295" s="2">
        <v>732.8</v>
      </c>
      <c r="F295" s="2">
        <v>211.03</v>
      </c>
    </row>
    <row r="296" spans="1:6" x14ac:dyDescent="0.25">
      <c r="A296" s="1">
        <v>43314</v>
      </c>
      <c r="B296" s="2">
        <v>7634.19</v>
      </c>
      <c r="C296" s="2">
        <v>420.81</v>
      </c>
      <c r="D296" s="2">
        <v>77.709999999999994</v>
      </c>
      <c r="E296" s="2">
        <v>767.67</v>
      </c>
      <c r="F296" s="2">
        <v>219.37</v>
      </c>
    </row>
    <row r="297" spans="1:6" x14ac:dyDescent="0.25">
      <c r="A297" s="1">
        <v>43313</v>
      </c>
      <c r="B297" s="2">
        <v>7769.04</v>
      </c>
      <c r="C297" s="2">
        <v>433.87</v>
      </c>
      <c r="D297" s="2">
        <v>80.39</v>
      </c>
      <c r="E297" s="2">
        <v>779.95</v>
      </c>
      <c r="F297" s="2">
        <v>218.32</v>
      </c>
    </row>
    <row r="298" spans="1:6" x14ac:dyDescent="0.25">
      <c r="A298" s="1">
        <v>43312</v>
      </c>
      <c r="B298" s="2">
        <v>8181.2</v>
      </c>
      <c r="C298" s="2">
        <v>457.25</v>
      </c>
      <c r="D298" s="2">
        <v>82.69</v>
      </c>
      <c r="E298" s="2">
        <v>816.73</v>
      </c>
      <c r="F298" s="2">
        <v>235.74</v>
      </c>
    </row>
    <row r="299" spans="1:6" x14ac:dyDescent="0.25">
      <c r="A299" s="1">
        <v>43311</v>
      </c>
      <c r="B299" s="2">
        <v>8221.58</v>
      </c>
      <c r="C299" s="2">
        <v>466.83</v>
      </c>
      <c r="D299" s="2">
        <v>84.15</v>
      </c>
      <c r="E299" s="2">
        <v>828.55</v>
      </c>
      <c r="F299" s="2">
        <v>240.21</v>
      </c>
    </row>
    <row r="300" spans="1:6" x14ac:dyDescent="0.25">
      <c r="A300" s="1">
        <v>43310</v>
      </c>
      <c r="B300" s="2">
        <v>8205.82</v>
      </c>
      <c r="C300" s="2">
        <v>466.92</v>
      </c>
      <c r="D300" s="2">
        <v>84.05</v>
      </c>
      <c r="E300" s="2">
        <v>821.01</v>
      </c>
      <c r="F300" s="2">
        <v>241.28</v>
      </c>
    </row>
    <row r="301" spans="1:6" x14ac:dyDescent="0.25">
      <c r="A301" s="1">
        <v>43309</v>
      </c>
      <c r="B301" s="2">
        <v>8169.06</v>
      </c>
      <c r="C301" s="2">
        <v>469.68</v>
      </c>
      <c r="D301" s="2">
        <v>84.54</v>
      </c>
      <c r="E301" s="2">
        <v>821.49</v>
      </c>
      <c r="F301" s="2">
        <v>244.06</v>
      </c>
    </row>
    <row r="302" spans="1:6" x14ac:dyDescent="0.25">
      <c r="A302" s="1">
        <v>43308</v>
      </c>
      <c r="B302" s="2">
        <v>7950.4</v>
      </c>
      <c r="C302" s="2">
        <v>464.01</v>
      </c>
      <c r="D302" s="2">
        <v>83.73</v>
      </c>
      <c r="E302" s="2">
        <v>804.35</v>
      </c>
      <c r="F302" s="2">
        <v>242</v>
      </c>
    </row>
    <row r="303" spans="1:6" x14ac:dyDescent="0.25">
      <c r="A303" s="1">
        <v>43307</v>
      </c>
      <c r="B303" s="2">
        <v>8176.85</v>
      </c>
      <c r="C303" s="2">
        <v>472.33</v>
      </c>
      <c r="D303" s="2">
        <v>86.28</v>
      </c>
      <c r="E303" s="2">
        <v>830.74</v>
      </c>
      <c r="F303" s="2">
        <v>244.35</v>
      </c>
    </row>
    <row r="304" spans="1:6" x14ac:dyDescent="0.25">
      <c r="A304" s="1">
        <v>43306</v>
      </c>
      <c r="B304" s="2">
        <v>8379.66</v>
      </c>
      <c r="C304" s="2">
        <v>479.91</v>
      </c>
      <c r="D304" s="2">
        <v>88.66</v>
      </c>
      <c r="E304" s="2">
        <v>863.2</v>
      </c>
      <c r="F304" s="2">
        <v>251.07</v>
      </c>
    </row>
    <row r="305" spans="1:6" x14ac:dyDescent="0.25">
      <c r="A305" s="1">
        <v>43305</v>
      </c>
      <c r="B305" s="2">
        <v>7716.51</v>
      </c>
      <c r="C305" s="2">
        <v>451.14</v>
      </c>
      <c r="D305" s="2">
        <v>82.68</v>
      </c>
      <c r="E305" s="2">
        <v>785.6</v>
      </c>
      <c r="F305" s="2">
        <v>241.82</v>
      </c>
    </row>
    <row r="306" spans="1:6" x14ac:dyDescent="0.25">
      <c r="A306" s="1">
        <v>43304</v>
      </c>
      <c r="B306" s="2">
        <v>7414.71</v>
      </c>
      <c r="C306" s="2">
        <v>459.44</v>
      </c>
      <c r="D306" s="2">
        <v>83.23</v>
      </c>
      <c r="E306" s="2">
        <v>789.69</v>
      </c>
      <c r="F306" s="2">
        <v>250.36</v>
      </c>
    </row>
    <row r="307" spans="1:6" x14ac:dyDescent="0.25">
      <c r="A307" s="1">
        <v>43303</v>
      </c>
      <c r="B307" s="2">
        <v>7417.8</v>
      </c>
      <c r="C307" s="2">
        <v>462.44</v>
      </c>
      <c r="D307" s="2">
        <v>84.26</v>
      </c>
      <c r="E307" s="2">
        <v>788.47</v>
      </c>
      <c r="F307" s="2">
        <v>255.07</v>
      </c>
    </row>
    <row r="308" spans="1:6" x14ac:dyDescent="0.25">
      <c r="A308" s="1">
        <v>43302</v>
      </c>
      <c r="B308" s="2">
        <v>7352.72</v>
      </c>
      <c r="C308" s="2">
        <v>450.68</v>
      </c>
      <c r="D308" s="2">
        <v>82.66</v>
      </c>
      <c r="E308" s="2">
        <v>767.88</v>
      </c>
      <c r="F308" s="2">
        <v>248.4</v>
      </c>
    </row>
    <row r="309" spans="1:6" x14ac:dyDescent="0.25">
      <c r="A309" s="1">
        <v>43301</v>
      </c>
      <c r="B309" s="2">
        <v>7467.4</v>
      </c>
      <c r="C309" s="2">
        <v>469.31</v>
      </c>
      <c r="D309" s="2">
        <v>86.68</v>
      </c>
      <c r="E309" s="2">
        <v>823.4</v>
      </c>
      <c r="F309" s="2">
        <v>260.43</v>
      </c>
    </row>
    <row r="310" spans="1:6" x14ac:dyDescent="0.25">
      <c r="A310" s="1">
        <v>43300</v>
      </c>
      <c r="B310" s="2">
        <v>7378.2</v>
      </c>
      <c r="C310" s="2">
        <v>480.63</v>
      </c>
      <c r="D310" s="2">
        <v>86.9</v>
      </c>
      <c r="E310" s="2">
        <v>828.43</v>
      </c>
      <c r="F310" s="2">
        <v>265.26</v>
      </c>
    </row>
    <row r="311" spans="1:6" x14ac:dyDescent="0.25">
      <c r="A311" s="1">
        <v>43299</v>
      </c>
      <c r="B311" s="2">
        <v>7315.32</v>
      </c>
      <c r="C311" s="2">
        <v>500.84</v>
      </c>
      <c r="D311" s="2">
        <v>89.82</v>
      </c>
      <c r="E311" s="2">
        <v>849.77</v>
      </c>
      <c r="F311" s="2">
        <v>259.99</v>
      </c>
    </row>
    <row r="312" spans="1:6" x14ac:dyDescent="0.25">
      <c r="A312" s="1">
        <v>43298</v>
      </c>
      <c r="B312" s="2">
        <v>6739.65</v>
      </c>
      <c r="C312" s="2">
        <v>480.08</v>
      </c>
      <c r="D312" s="2">
        <v>84.3</v>
      </c>
      <c r="E312" s="2">
        <v>803.12</v>
      </c>
      <c r="F312" s="2">
        <v>246.73</v>
      </c>
    </row>
    <row r="313" spans="1:6" x14ac:dyDescent="0.25">
      <c r="A313" s="1">
        <v>43297</v>
      </c>
      <c r="B313" s="2">
        <v>6357.01</v>
      </c>
      <c r="C313" s="2">
        <v>450.42</v>
      </c>
      <c r="D313" s="2">
        <v>78.959999999999994</v>
      </c>
      <c r="E313" s="2">
        <v>724.48</v>
      </c>
      <c r="F313" s="2">
        <v>232.13</v>
      </c>
    </row>
    <row r="314" spans="1:6" x14ac:dyDescent="0.25">
      <c r="A314" s="1">
        <v>43296</v>
      </c>
      <c r="B314" s="2">
        <v>6272.7</v>
      </c>
      <c r="C314" s="2">
        <v>435.88</v>
      </c>
      <c r="D314" s="2">
        <v>76.7</v>
      </c>
      <c r="E314" s="2">
        <v>702.99</v>
      </c>
      <c r="F314" s="2">
        <v>224.57</v>
      </c>
    </row>
    <row r="315" spans="1:6" x14ac:dyDescent="0.25">
      <c r="A315" s="1">
        <v>43295</v>
      </c>
      <c r="B315" s="2">
        <v>6247.5</v>
      </c>
      <c r="C315" s="2">
        <v>434.51</v>
      </c>
      <c r="D315" s="2">
        <v>76.97</v>
      </c>
      <c r="E315" s="2">
        <v>696.42</v>
      </c>
      <c r="F315" s="2">
        <v>218.88</v>
      </c>
    </row>
    <row r="316" spans="1:6" x14ac:dyDescent="0.25">
      <c r="A316" s="1">
        <v>43294</v>
      </c>
      <c r="B316" s="2">
        <v>6235.03</v>
      </c>
      <c r="C316" s="2">
        <v>430.74</v>
      </c>
      <c r="D316" s="2">
        <v>77.290000000000006</v>
      </c>
      <c r="E316" s="2">
        <v>686.65</v>
      </c>
      <c r="F316" s="2">
        <v>212.05</v>
      </c>
    </row>
    <row r="317" spans="1:6" x14ac:dyDescent="0.25">
      <c r="A317" s="1">
        <v>43293</v>
      </c>
      <c r="B317" s="2">
        <v>6396.78</v>
      </c>
      <c r="C317" s="2">
        <v>446.5</v>
      </c>
      <c r="D317" s="2">
        <v>78.59</v>
      </c>
      <c r="E317" s="2">
        <v>706.98</v>
      </c>
      <c r="F317" s="2">
        <v>218.17</v>
      </c>
    </row>
    <row r="318" spans="1:6" x14ac:dyDescent="0.25">
      <c r="A318" s="1">
        <v>43292</v>
      </c>
      <c r="B318" s="2">
        <v>6330.77</v>
      </c>
      <c r="C318" s="2">
        <v>434.52</v>
      </c>
      <c r="D318" s="2">
        <v>76.13</v>
      </c>
      <c r="E318" s="2">
        <v>688.87</v>
      </c>
      <c r="F318" s="2">
        <v>220.8</v>
      </c>
    </row>
    <row r="319" spans="1:6" x14ac:dyDescent="0.25">
      <c r="A319" s="1">
        <v>43291</v>
      </c>
      <c r="B319" s="2">
        <v>6739.21</v>
      </c>
      <c r="C319" s="2">
        <v>476.16</v>
      </c>
      <c r="D319" s="2">
        <v>80.78</v>
      </c>
      <c r="E319" s="2">
        <v>732.86</v>
      </c>
      <c r="F319" s="2">
        <v>232.18</v>
      </c>
    </row>
    <row r="320" spans="1:6" x14ac:dyDescent="0.25">
      <c r="A320" s="1">
        <v>43290</v>
      </c>
      <c r="B320" s="2">
        <v>6775.08</v>
      </c>
      <c r="C320" s="2">
        <v>488.88</v>
      </c>
      <c r="D320" s="2">
        <v>82.54</v>
      </c>
      <c r="E320" s="2">
        <v>751.57</v>
      </c>
      <c r="F320" s="2">
        <v>243.51</v>
      </c>
    </row>
    <row r="321" spans="1:6" x14ac:dyDescent="0.25">
      <c r="A321" s="1">
        <v>43289</v>
      </c>
      <c r="B321" s="2">
        <v>6857.8</v>
      </c>
      <c r="C321" s="2">
        <v>492.07</v>
      </c>
      <c r="D321" s="2">
        <v>86.26</v>
      </c>
      <c r="E321" s="2">
        <v>775.78</v>
      </c>
      <c r="F321" s="2">
        <v>246.87</v>
      </c>
    </row>
    <row r="322" spans="1:6" x14ac:dyDescent="0.25">
      <c r="A322" s="1">
        <v>43288</v>
      </c>
      <c r="B322" s="2">
        <v>6668.71</v>
      </c>
      <c r="C322" s="2">
        <v>474.06</v>
      </c>
      <c r="D322" s="2">
        <v>83.4</v>
      </c>
      <c r="E322" s="2">
        <v>736.76</v>
      </c>
      <c r="F322" s="2">
        <v>241.59</v>
      </c>
    </row>
    <row r="323" spans="1:6" x14ac:dyDescent="0.25">
      <c r="A323" s="1">
        <v>43287</v>
      </c>
      <c r="B323" s="2">
        <v>6638.69</v>
      </c>
      <c r="C323" s="2">
        <v>474.36</v>
      </c>
      <c r="D323" s="2">
        <v>83.84</v>
      </c>
      <c r="E323" s="2">
        <v>748.48</v>
      </c>
      <c r="F323" s="2">
        <v>242.33</v>
      </c>
    </row>
    <row r="324" spans="1:6" x14ac:dyDescent="0.25">
      <c r="A324" s="1">
        <v>43286</v>
      </c>
      <c r="B324" s="2">
        <v>6599.71</v>
      </c>
      <c r="C324" s="2">
        <v>467.29</v>
      </c>
      <c r="D324" s="2">
        <v>85.65</v>
      </c>
      <c r="E324" s="2">
        <v>763.29</v>
      </c>
      <c r="F324" s="2">
        <v>245.65</v>
      </c>
    </row>
    <row r="325" spans="1:6" x14ac:dyDescent="0.25">
      <c r="A325" s="1">
        <v>43285</v>
      </c>
      <c r="B325" s="2">
        <v>6550.87</v>
      </c>
      <c r="C325" s="2">
        <v>464.15</v>
      </c>
      <c r="D325" s="2">
        <v>85.17</v>
      </c>
      <c r="E325" s="2">
        <v>757.93</v>
      </c>
      <c r="F325" s="2">
        <v>238.26</v>
      </c>
    </row>
    <row r="326" spans="1:6" x14ac:dyDescent="0.25">
      <c r="A326" s="1">
        <v>43284</v>
      </c>
      <c r="B326" s="2">
        <v>6596.66</v>
      </c>
      <c r="C326" s="2">
        <v>475.39</v>
      </c>
      <c r="D326" s="2">
        <v>85.39</v>
      </c>
      <c r="E326" s="2">
        <v>775.07</v>
      </c>
      <c r="F326" s="2">
        <v>248.81</v>
      </c>
    </row>
    <row r="327" spans="1:6" x14ac:dyDescent="0.25">
      <c r="A327" s="1">
        <v>43283</v>
      </c>
      <c r="B327" s="2">
        <v>6380.38</v>
      </c>
      <c r="C327" s="2">
        <v>453.82</v>
      </c>
      <c r="D327" s="2">
        <v>80.27</v>
      </c>
      <c r="E327" s="2">
        <v>739.25</v>
      </c>
      <c r="F327" s="2">
        <v>235.71</v>
      </c>
    </row>
    <row r="328" spans="1:6" x14ac:dyDescent="0.25">
      <c r="A328" s="1">
        <v>43282</v>
      </c>
      <c r="B328" s="2">
        <v>6411.68</v>
      </c>
      <c r="C328" s="2">
        <v>455.24</v>
      </c>
      <c r="D328" s="2">
        <v>81.5</v>
      </c>
      <c r="E328" s="2">
        <v>749.18</v>
      </c>
      <c r="F328" s="2">
        <v>239.14</v>
      </c>
    </row>
    <row r="329" spans="1:6" x14ac:dyDescent="0.25">
      <c r="A329" s="1">
        <v>43281</v>
      </c>
      <c r="B329" s="2">
        <v>6214.22</v>
      </c>
      <c r="C329" s="2">
        <v>436.21</v>
      </c>
      <c r="D329" s="2">
        <v>78.95</v>
      </c>
      <c r="E329" s="2">
        <v>717.04</v>
      </c>
      <c r="F329" s="2">
        <v>234.46</v>
      </c>
    </row>
    <row r="330" spans="1:6" x14ac:dyDescent="0.25">
      <c r="A330" s="1">
        <v>43280</v>
      </c>
      <c r="B330" s="2">
        <v>5898.13</v>
      </c>
      <c r="C330" s="2">
        <v>422.59</v>
      </c>
      <c r="D330" s="2">
        <v>74.81</v>
      </c>
      <c r="E330" s="2">
        <v>663</v>
      </c>
      <c r="F330" s="2">
        <v>219.49</v>
      </c>
    </row>
    <row r="331" spans="1:6" x14ac:dyDescent="0.25">
      <c r="A331" s="1">
        <v>43279</v>
      </c>
      <c r="B331" s="2">
        <v>6153.16</v>
      </c>
      <c r="C331" s="2">
        <v>442.29</v>
      </c>
      <c r="D331" s="2">
        <v>80.63</v>
      </c>
      <c r="E331" s="2">
        <v>714.7</v>
      </c>
      <c r="F331" s="2">
        <v>229.32</v>
      </c>
    </row>
    <row r="332" spans="1:6" x14ac:dyDescent="0.25">
      <c r="A332" s="1">
        <v>43278</v>
      </c>
      <c r="B332" s="2">
        <v>6084.4</v>
      </c>
      <c r="C332" s="2">
        <v>432.24</v>
      </c>
      <c r="D332" s="2">
        <v>76.930000000000007</v>
      </c>
      <c r="E332" s="2">
        <v>698.28</v>
      </c>
      <c r="F332" s="2">
        <v>231.92</v>
      </c>
    </row>
    <row r="333" spans="1:6" x14ac:dyDescent="0.25">
      <c r="A333" s="1">
        <v>43277</v>
      </c>
      <c r="B333" s="2">
        <v>6253.55</v>
      </c>
      <c r="C333" s="2">
        <v>460.73</v>
      </c>
      <c r="D333" s="2">
        <v>81.819999999999993</v>
      </c>
      <c r="E333" s="2">
        <v>757.25</v>
      </c>
      <c r="F333" s="2">
        <v>241.22</v>
      </c>
    </row>
    <row r="334" spans="1:6" x14ac:dyDescent="0.25">
      <c r="A334" s="1">
        <v>43276</v>
      </c>
      <c r="B334" s="2">
        <v>6171.97</v>
      </c>
      <c r="C334" s="2">
        <v>455.94</v>
      </c>
      <c r="D334" s="2">
        <v>80.37</v>
      </c>
      <c r="E334" s="2">
        <v>748.63</v>
      </c>
      <c r="F334" s="2">
        <v>237.62</v>
      </c>
    </row>
    <row r="335" spans="1:6" x14ac:dyDescent="0.25">
      <c r="A335" s="1">
        <v>43275</v>
      </c>
      <c r="B335" s="2">
        <v>6164.28</v>
      </c>
      <c r="C335" s="2">
        <v>474.77</v>
      </c>
      <c r="D335" s="2">
        <v>82.74</v>
      </c>
      <c r="E335" s="2">
        <v>764.62</v>
      </c>
      <c r="F335" s="2">
        <v>242.93</v>
      </c>
    </row>
    <row r="336" spans="1:6" x14ac:dyDescent="0.25">
      <c r="A336" s="1">
        <v>43274</v>
      </c>
      <c r="B336" s="2">
        <v>6090.1</v>
      </c>
      <c r="C336" s="2">
        <v>466.27</v>
      </c>
      <c r="D336" s="2">
        <v>85.09</v>
      </c>
      <c r="E336" s="2">
        <v>755.24</v>
      </c>
      <c r="F336" s="2">
        <v>236.82</v>
      </c>
    </row>
    <row r="337" spans="1:6" x14ac:dyDescent="0.25">
      <c r="A337" s="1">
        <v>43273</v>
      </c>
      <c r="B337" s="2">
        <v>6737.88</v>
      </c>
      <c r="C337" s="2">
        <v>527.19000000000005</v>
      </c>
      <c r="D337" s="2">
        <v>96.94</v>
      </c>
      <c r="E337" s="2">
        <v>874.97</v>
      </c>
      <c r="F337" s="2">
        <v>260.89</v>
      </c>
    </row>
    <row r="338" spans="1:6" x14ac:dyDescent="0.25">
      <c r="A338" s="1">
        <v>43272</v>
      </c>
      <c r="B338" s="2">
        <v>6780.09</v>
      </c>
      <c r="C338" s="2">
        <v>536.45000000000005</v>
      </c>
      <c r="D338" s="2">
        <v>97.88</v>
      </c>
      <c r="E338" s="2">
        <v>890.64</v>
      </c>
      <c r="F338" s="2">
        <v>265.52</v>
      </c>
    </row>
    <row r="339" spans="1:6" x14ac:dyDescent="0.25">
      <c r="A339" s="1">
        <v>43271</v>
      </c>
      <c r="B339" s="2">
        <v>6770.76</v>
      </c>
      <c r="C339" s="2">
        <v>538.51</v>
      </c>
      <c r="D339" s="2">
        <v>98.96</v>
      </c>
      <c r="E339" s="2">
        <v>905.71</v>
      </c>
      <c r="F339" s="2">
        <v>262.39999999999998</v>
      </c>
    </row>
    <row r="340" spans="1:6" x14ac:dyDescent="0.25">
      <c r="A340" s="1">
        <v>43270</v>
      </c>
      <c r="B340" s="2">
        <v>6742.39</v>
      </c>
      <c r="C340" s="2">
        <v>519.02</v>
      </c>
      <c r="D340" s="2">
        <v>98.73</v>
      </c>
      <c r="E340" s="2">
        <v>885.99</v>
      </c>
      <c r="F340" s="2">
        <v>265.38</v>
      </c>
    </row>
    <row r="341" spans="1:6" x14ac:dyDescent="0.25">
      <c r="A341" s="1">
        <v>43269</v>
      </c>
      <c r="B341" s="2">
        <v>6510.07</v>
      </c>
      <c r="C341" s="2">
        <v>499.38</v>
      </c>
      <c r="D341" s="2">
        <v>95.77</v>
      </c>
      <c r="E341" s="2">
        <v>849.81</v>
      </c>
      <c r="F341" s="2">
        <v>264.75</v>
      </c>
    </row>
    <row r="342" spans="1:6" x14ac:dyDescent="0.25">
      <c r="A342" s="1">
        <v>43268</v>
      </c>
      <c r="B342" s="2">
        <v>6545.53</v>
      </c>
      <c r="C342" s="2">
        <v>499.46</v>
      </c>
      <c r="D342" s="2">
        <v>97.72</v>
      </c>
      <c r="E342" s="2">
        <v>853.06</v>
      </c>
      <c r="F342" s="2">
        <v>266.60000000000002</v>
      </c>
    </row>
    <row r="343" spans="1:6" x14ac:dyDescent="0.25">
      <c r="A343" s="1">
        <v>43267</v>
      </c>
      <c r="B343" s="2">
        <v>6455.45</v>
      </c>
      <c r="C343" s="2">
        <v>490.41</v>
      </c>
      <c r="D343" s="2">
        <v>96.58</v>
      </c>
      <c r="E343" s="2">
        <v>847.16</v>
      </c>
      <c r="F343" s="2">
        <v>257.24</v>
      </c>
    </row>
    <row r="344" spans="1:6" x14ac:dyDescent="0.25">
      <c r="A344" s="1">
        <v>43266</v>
      </c>
      <c r="B344" s="2">
        <v>6674.08</v>
      </c>
      <c r="C344" s="2">
        <v>520.48</v>
      </c>
      <c r="D344" s="2">
        <v>101.11</v>
      </c>
      <c r="E344" s="2">
        <v>896.43</v>
      </c>
      <c r="F344" s="2">
        <v>268.27</v>
      </c>
    </row>
    <row r="345" spans="1:6" x14ac:dyDescent="0.25">
      <c r="A345" s="1">
        <v>43265</v>
      </c>
      <c r="B345" s="2">
        <v>6342.75</v>
      </c>
      <c r="C345" s="2">
        <v>478.38</v>
      </c>
      <c r="D345" s="2">
        <v>93.99</v>
      </c>
      <c r="E345" s="2">
        <v>844.36</v>
      </c>
      <c r="F345" s="2">
        <v>245.91</v>
      </c>
    </row>
    <row r="346" spans="1:6" x14ac:dyDescent="0.25">
      <c r="A346" s="1">
        <v>43264</v>
      </c>
      <c r="B346" s="2">
        <v>6596.88</v>
      </c>
      <c r="C346" s="2">
        <v>498.02</v>
      </c>
      <c r="D346" s="2">
        <v>100.8</v>
      </c>
      <c r="E346" s="2">
        <v>876.89</v>
      </c>
      <c r="F346" s="2">
        <v>261.77999999999997</v>
      </c>
    </row>
    <row r="347" spans="1:6" x14ac:dyDescent="0.25">
      <c r="A347" s="1">
        <v>43263</v>
      </c>
      <c r="B347" s="2">
        <v>6905.82</v>
      </c>
      <c r="C347" s="2">
        <v>532.71</v>
      </c>
      <c r="D347" s="2">
        <v>107.43</v>
      </c>
      <c r="E347" s="2">
        <v>957.14</v>
      </c>
      <c r="F347" s="2">
        <v>270.25</v>
      </c>
    </row>
    <row r="348" spans="1:6" x14ac:dyDescent="0.25">
      <c r="A348" s="1">
        <v>43262</v>
      </c>
      <c r="B348" s="2">
        <v>6799.29</v>
      </c>
      <c r="C348" s="2">
        <v>524.86</v>
      </c>
      <c r="D348" s="2">
        <v>106.54</v>
      </c>
      <c r="E348" s="2">
        <v>937.63</v>
      </c>
      <c r="F348" s="2">
        <v>273.82</v>
      </c>
    </row>
    <row r="349" spans="1:6" x14ac:dyDescent="0.25">
      <c r="A349" s="1">
        <v>43261</v>
      </c>
      <c r="B349" s="2">
        <v>7499.55</v>
      </c>
      <c r="C349" s="2">
        <v>594.34</v>
      </c>
      <c r="D349" s="2">
        <v>117.56</v>
      </c>
      <c r="E349" s="2">
        <v>1087.46</v>
      </c>
      <c r="F349" s="2">
        <v>299.5</v>
      </c>
    </row>
    <row r="350" spans="1:6" x14ac:dyDescent="0.25">
      <c r="A350" s="1">
        <v>43260</v>
      </c>
      <c r="B350" s="2">
        <v>7632.52</v>
      </c>
      <c r="C350" s="2">
        <v>600.91</v>
      </c>
      <c r="D350" s="2">
        <v>120.11</v>
      </c>
      <c r="E350" s="2">
        <v>1117.3499999999999</v>
      </c>
      <c r="F350" s="2">
        <v>310.5</v>
      </c>
    </row>
    <row r="351" spans="1:6" x14ac:dyDescent="0.25">
      <c r="A351" s="1">
        <v>43259</v>
      </c>
      <c r="B351" s="2">
        <v>7685.14</v>
      </c>
      <c r="C351" s="2">
        <v>605.44000000000005</v>
      </c>
      <c r="D351" s="2">
        <v>121.52</v>
      </c>
      <c r="E351" s="2">
        <v>1145.3399999999999</v>
      </c>
      <c r="F351" s="2">
        <v>312.64</v>
      </c>
    </row>
    <row r="352" spans="1:6" x14ac:dyDescent="0.25">
      <c r="A352" s="1">
        <v>43258</v>
      </c>
      <c r="B352" s="2">
        <v>7650.82</v>
      </c>
      <c r="C352" s="2">
        <v>607.69000000000005</v>
      </c>
      <c r="D352" s="2">
        <v>121.34</v>
      </c>
      <c r="E352" s="2">
        <v>1135.1500000000001</v>
      </c>
      <c r="F352" s="2">
        <v>314.39999999999998</v>
      </c>
    </row>
    <row r="353" spans="1:6" x14ac:dyDescent="0.25">
      <c r="A353" s="1">
        <v>43257</v>
      </c>
      <c r="B353" s="2">
        <v>7625.97</v>
      </c>
      <c r="C353" s="2">
        <v>610.26</v>
      </c>
      <c r="D353" s="2">
        <v>121.89</v>
      </c>
      <c r="E353" s="2">
        <v>1157.33</v>
      </c>
      <c r="F353" s="2">
        <v>317.56</v>
      </c>
    </row>
    <row r="354" spans="1:6" x14ac:dyDescent="0.25">
      <c r="A354" s="1">
        <v>43256</v>
      </c>
      <c r="B354" s="2">
        <v>7500.9</v>
      </c>
      <c r="C354" s="2">
        <v>593.41</v>
      </c>
      <c r="D354" s="2">
        <v>119.9</v>
      </c>
      <c r="E354" s="2">
        <v>1110.07</v>
      </c>
      <c r="F354" s="2">
        <v>317.02999999999997</v>
      </c>
    </row>
    <row r="355" spans="1:6" x14ac:dyDescent="0.25">
      <c r="A355" s="1">
        <v>43255</v>
      </c>
      <c r="B355" s="2">
        <v>7722.53</v>
      </c>
      <c r="C355" s="2">
        <v>619.44000000000005</v>
      </c>
      <c r="D355" s="2">
        <v>125.21</v>
      </c>
      <c r="E355" s="2">
        <v>1170.78</v>
      </c>
      <c r="F355" s="2">
        <v>330.73</v>
      </c>
    </row>
    <row r="356" spans="1:6" x14ac:dyDescent="0.25">
      <c r="A356" s="1">
        <v>43254</v>
      </c>
      <c r="B356" s="2">
        <v>7632.09</v>
      </c>
      <c r="C356" s="2">
        <v>591.26</v>
      </c>
      <c r="D356" s="2">
        <v>123.29</v>
      </c>
      <c r="E356" s="2">
        <v>1083.1300000000001</v>
      </c>
      <c r="F356" s="2">
        <v>322.31</v>
      </c>
    </row>
    <row r="357" spans="1:6" x14ac:dyDescent="0.25">
      <c r="A357" s="1">
        <v>43253</v>
      </c>
      <c r="B357" s="2">
        <v>7536.72</v>
      </c>
      <c r="C357" s="2">
        <v>580.42999999999995</v>
      </c>
      <c r="D357" s="2">
        <v>119.83</v>
      </c>
      <c r="E357" s="2">
        <v>1003.33</v>
      </c>
      <c r="F357" s="2">
        <v>315.33999999999997</v>
      </c>
    </row>
    <row r="358" spans="1:6" x14ac:dyDescent="0.25">
      <c r="A358" s="1">
        <v>43252</v>
      </c>
      <c r="B358" s="2">
        <v>7500.7</v>
      </c>
      <c r="C358" s="2">
        <v>578.66999999999996</v>
      </c>
      <c r="D358" s="2">
        <v>118.03</v>
      </c>
      <c r="E358" s="2">
        <v>995.66</v>
      </c>
      <c r="F358" s="2">
        <v>304.94</v>
      </c>
    </row>
    <row r="359" spans="1:6" x14ac:dyDescent="0.25">
      <c r="A359" s="1">
        <v>43251</v>
      </c>
      <c r="B359" s="2">
        <v>7406.15</v>
      </c>
      <c r="C359" s="2">
        <v>558.5</v>
      </c>
      <c r="D359" s="2">
        <v>117.32</v>
      </c>
      <c r="E359" s="2">
        <v>983.57</v>
      </c>
      <c r="F359" s="2">
        <v>303.42</v>
      </c>
    </row>
    <row r="360" spans="1:6" x14ac:dyDescent="0.25">
      <c r="A360" s="1">
        <v>43250</v>
      </c>
      <c r="B360" s="2">
        <v>7469.73</v>
      </c>
      <c r="C360" s="2">
        <v>566.83000000000004</v>
      </c>
      <c r="D360" s="2">
        <v>119.54</v>
      </c>
      <c r="E360" s="2">
        <v>990.07</v>
      </c>
      <c r="F360" s="2">
        <v>316.89</v>
      </c>
    </row>
    <row r="361" spans="1:6" x14ac:dyDescent="0.25">
      <c r="A361" s="1">
        <v>43249</v>
      </c>
      <c r="B361" s="2">
        <v>7129.46</v>
      </c>
      <c r="C361" s="2">
        <v>516.15</v>
      </c>
      <c r="D361" s="2">
        <v>111.84</v>
      </c>
      <c r="E361" s="2">
        <v>896.85</v>
      </c>
      <c r="F361" s="2">
        <v>288.37</v>
      </c>
    </row>
    <row r="362" spans="1:6" x14ac:dyDescent="0.25">
      <c r="A362" s="1">
        <v>43248</v>
      </c>
      <c r="B362" s="2">
        <v>7371.31</v>
      </c>
      <c r="C362" s="2">
        <v>573.04</v>
      </c>
      <c r="D362" s="2">
        <v>117.93</v>
      </c>
      <c r="E362" s="2">
        <v>996.65</v>
      </c>
      <c r="F362" s="2">
        <v>315.95999999999998</v>
      </c>
    </row>
    <row r="363" spans="1:6" x14ac:dyDescent="0.25">
      <c r="A363" s="1">
        <v>43247</v>
      </c>
      <c r="B363" s="2">
        <v>7362.08</v>
      </c>
      <c r="C363" s="2">
        <v>588.52</v>
      </c>
      <c r="D363" s="2">
        <v>118.5</v>
      </c>
      <c r="E363" s="2">
        <v>1009.2</v>
      </c>
      <c r="F363" s="2">
        <v>321.72000000000003</v>
      </c>
    </row>
    <row r="364" spans="1:6" x14ac:dyDescent="0.25">
      <c r="A364" s="1">
        <v>43246</v>
      </c>
      <c r="B364" s="2">
        <v>7486.48</v>
      </c>
      <c r="C364" s="2">
        <v>587.42999999999995</v>
      </c>
      <c r="D364" s="2">
        <v>119.35</v>
      </c>
      <c r="E364" s="2">
        <v>1015.68</v>
      </c>
      <c r="F364" s="2">
        <v>339.3</v>
      </c>
    </row>
    <row r="365" spans="1:6" x14ac:dyDescent="0.25">
      <c r="A365" s="1">
        <v>43245</v>
      </c>
      <c r="B365" s="2">
        <v>7592.3</v>
      </c>
      <c r="C365" s="2">
        <v>602.14</v>
      </c>
      <c r="D365" s="2">
        <v>122.56</v>
      </c>
      <c r="E365" s="2">
        <v>1072.74</v>
      </c>
      <c r="F365" s="2">
        <v>344.45</v>
      </c>
    </row>
    <row r="366" spans="1:6" x14ac:dyDescent="0.25">
      <c r="A366" s="1">
        <v>43244</v>
      </c>
      <c r="B366" s="2">
        <v>7561.12</v>
      </c>
      <c r="C366" s="2">
        <v>584.54</v>
      </c>
      <c r="D366" s="2">
        <v>119.19</v>
      </c>
      <c r="E366" s="2">
        <v>1005.01</v>
      </c>
      <c r="F366" s="2">
        <v>340.42</v>
      </c>
    </row>
    <row r="367" spans="1:6" x14ac:dyDescent="0.25">
      <c r="A367" s="1">
        <v>43243</v>
      </c>
      <c r="B367" s="2">
        <v>8037.08</v>
      </c>
      <c r="C367" s="2">
        <v>646.66999999999996</v>
      </c>
      <c r="D367" s="2">
        <v>128.81</v>
      </c>
      <c r="E367" s="2">
        <v>1142.25</v>
      </c>
      <c r="F367" s="2">
        <v>360.45</v>
      </c>
    </row>
    <row r="368" spans="1:6" x14ac:dyDescent="0.25">
      <c r="A368" s="1">
        <v>43242</v>
      </c>
      <c r="B368" s="2">
        <v>8419.8700000000008</v>
      </c>
      <c r="C368" s="2">
        <v>700.18</v>
      </c>
      <c r="D368" s="2">
        <v>134.26</v>
      </c>
      <c r="E368" s="2">
        <v>1233.7</v>
      </c>
      <c r="F368" s="2">
        <v>384.6</v>
      </c>
    </row>
    <row r="369" spans="1:6" x14ac:dyDescent="0.25">
      <c r="A369" s="1">
        <v>43241</v>
      </c>
      <c r="B369" s="2">
        <v>8522.33</v>
      </c>
      <c r="C369" s="2">
        <v>717.19</v>
      </c>
      <c r="D369" s="2">
        <v>139.63999999999999</v>
      </c>
      <c r="E369" s="2">
        <v>1296.03</v>
      </c>
      <c r="F369" s="2">
        <v>402.51</v>
      </c>
    </row>
    <row r="370" spans="1:6" x14ac:dyDescent="0.25">
      <c r="A370" s="1">
        <v>43240</v>
      </c>
      <c r="B370" s="2">
        <v>8246.99</v>
      </c>
      <c r="C370" s="2">
        <v>697.92</v>
      </c>
      <c r="D370" s="2">
        <v>135.27000000000001</v>
      </c>
      <c r="E370" s="2">
        <v>1183.2</v>
      </c>
      <c r="F370" s="2">
        <v>386.9</v>
      </c>
    </row>
    <row r="371" spans="1:6" x14ac:dyDescent="0.25">
      <c r="A371" s="1">
        <v>43239</v>
      </c>
      <c r="B371" s="2">
        <v>8255.73</v>
      </c>
      <c r="C371" s="2">
        <v>695.07</v>
      </c>
      <c r="D371" s="2">
        <v>135.96</v>
      </c>
      <c r="E371" s="2">
        <v>1206.6099999999999</v>
      </c>
      <c r="F371" s="2">
        <v>395.93</v>
      </c>
    </row>
    <row r="372" spans="1:6" x14ac:dyDescent="0.25">
      <c r="A372" s="1">
        <v>43238</v>
      </c>
      <c r="B372" s="2">
        <v>8091.83</v>
      </c>
      <c r="C372" s="2">
        <v>672.1</v>
      </c>
      <c r="D372" s="2">
        <v>132.69999999999999</v>
      </c>
      <c r="E372" s="2">
        <v>1202.2</v>
      </c>
      <c r="F372" s="2">
        <v>387.96</v>
      </c>
    </row>
    <row r="373" spans="1:6" x14ac:dyDescent="0.25">
      <c r="A373" s="1">
        <v>43237</v>
      </c>
      <c r="B373" s="2">
        <v>8370.0499999999993</v>
      </c>
      <c r="C373" s="2">
        <v>708.72</v>
      </c>
      <c r="D373" s="2">
        <v>139.56</v>
      </c>
      <c r="E373" s="2">
        <v>1290.22</v>
      </c>
      <c r="F373" s="2">
        <v>413.03</v>
      </c>
    </row>
    <row r="374" spans="1:6" x14ac:dyDescent="0.25">
      <c r="A374" s="1">
        <v>43236</v>
      </c>
      <c r="B374" s="2">
        <v>8504.41</v>
      </c>
      <c r="C374" s="2">
        <v>708.09</v>
      </c>
      <c r="D374" s="2">
        <v>139.65</v>
      </c>
      <c r="E374" s="2">
        <v>1341.89</v>
      </c>
      <c r="F374" s="2">
        <v>429.32</v>
      </c>
    </row>
    <row r="375" spans="1:6" x14ac:dyDescent="0.25">
      <c r="A375" s="1">
        <v>43235</v>
      </c>
      <c r="B375" s="2">
        <v>8705.19</v>
      </c>
      <c r="C375" s="2">
        <v>731.14</v>
      </c>
      <c r="D375" s="2">
        <v>147.49</v>
      </c>
      <c r="E375" s="2">
        <v>1430.28</v>
      </c>
      <c r="F375" s="2">
        <v>432.18</v>
      </c>
    </row>
    <row r="376" spans="1:6" x14ac:dyDescent="0.25">
      <c r="A376" s="1">
        <v>43234</v>
      </c>
      <c r="B376" s="2">
        <v>8713.1</v>
      </c>
      <c r="C376" s="2">
        <v>732.73</v>
      </c>
      <c r="D376" s="2">
        <v>144.62</v>
      </c>
      <c r="E376" s="2">
        <v>1489.33</v>
      </c>
      <c r="F376" s="2">
        <v>416.49</v>
      </c>
    </row>
    <row r="377" spans="1:6" x14ac:dyDescent="0.25">
      <c r="A377" s="1">
        <v>43233</v>
      </c>
      <c r="B377" s="2">
        <v>8515.49</v>
      </c>
      <c r="C377" s="2">
        <v>687.17</v>
      </c>
      <c r="D377" s="2">
        <v>141.80000000000001</v>
      </c>
      <c r="E377" s="2">
        <v>1474.76</v>
      </c>
      <c r="F377" s="2">
        <v>404.11</v>
      </c>
    </row>
    <row r="378" spans="1:6" x14ac:dyDescent="0.25">
      <c r="A378" s="1">
        <v>43232</v>
      </c>
      <c r="B378" s="2">
        <v>8441.44</v>
      </c>
      <c r="C378" s="2">
        <v>679.88</v>
      </c>
      <c r="D378" s="2">
        <v>137.26</v>
      </c>
      <c r="E378" s="2">
        <v>1376.05</v>
      </c>
      <c r="F378" s="2">
        <v>389.24</v>
      </c>
    </row>
    <row r="379" spans="1:6" x14ac:dyDescent="0.25">
      <c r="A379" s="1">
        <v>43231</v>
      </c>
      <c r="B379" s="2">
        <v>9052.9599999999991</v>
      </c>
      <c r="C379" s="2">
        <v>727.01</v>
      </c>
      <c r="D379" s="2">
        <v>149.44999999999999</v>
      </c>
      <c r="E379" s="2">
        <v>1527.49</v>
      </c>
      <c r="F379" s="2">
        <v>421.61</v>
      </c>
    </row>
    <row r="380" spans="1:6" x14ac:dyDescent="0.25">
      <c r="A380" s="1">
        <v>43230</v>
      </c>
      <c r="B380" s="2">
        <v>9325.9599999999991</v>
      </c>
      <c r="C380" s="2">
        <v>752.58</v>
      </c>
      <c r="D380" s="2">
        <v>157.15</v>
      </c>
      <c r="E380" s="2">
        <v>1646.15</v>
      </c>
      <c r="F380" s="2">
        <v>443.15</v>
      </c>
    </row>
    <row r="381" spans="1:6" x14ac:dyDescent="0.25">
      <c r="A381" s="1">
        <v>43229</v>
      </c>
      <c r="B381" s="2">
        <v>9223.73</v>
      </c>
      <c r="C381" s="2">
        <v>752.9</v>
      </c>
      <c r="D381" s="2">
        <v>159.62</v>
      </c>
      <c r="E381" s="2">
        <v>1607.87</v>
      </c>
      <c r="F381" s="2">
        <v>443.13</v>
      </c>
    </row>
    <row r="382" spans="1:6" x14ac:dyDescent="0.25">
      <c r="A382" s="1">
        <v>43228</v>
      </c>
      <c r="B382" s="2">
        <v>9380.8700000000008</v>
      </c>
      <c r="C382" s="2">
        <v>755.01</v>
      </c>
      <c r="D382" s="2">
        <v>164.83</v>
      </c>
      <c r="E382" s="2">
        <v>1673.07</v>
      </c>
      <c r="F382" s="2">
        <v>458.76</v>
      </c>
    </row>
    <row r="383" spans="1:6" x14ac:dyDescent="0.25">
      <c r="A383" s="1">
        <v>43227</v>
      </c>
      <c r="B383" s="2">
        <v>9645.67</v>
      </c>
      <c r="C383" s="2">
        <v>793.34</v>
      </c>
      <c r="D383" s="2">
        <v>171.76</v>
      </c>
      <c r="E383" s="2">
        <v>1766.66</v>
      </c>
      <c r="F383" s="2">
        <v>485.74</v>
      </c>
    </row>
    <row r="384" spans="1:6" x14ac:dyDescent="0.25">
      <c r="A384" s="1">
        <v>43226</v>
      </c>
      <c r="B384" s="2">
        <v>9845.31</v>
      </c>
      <c r="C384" s="2">
        <v>816.09</v>
      </c>
      <c r="D384" s="2">
        <v>178.02</v>
      </c>
      <c r="E384" s="2">
        <v>1758.83</v>
      </c>
      <c r="F384" s="2">
        <v>506.06</v>
      </c>
    </row>
    <row r="385" spans="1:6" x14ac:dyDescent="0.25">
      <c r="A385" s="1">
        <v>43225</v>
      </c>
      <c r="B385" s="2">
        <v>9700.2800000000007</v>
      </c>
      <c r="C385" s="2">
        <v>784.58</v>
      </c>
      <c r="D385" s="2">
        <v>168.35</v>
      </c>
      <c r="E385" s="2">
        <v>1516.74</v>
      </c>
      <c r="F385" s="2">
        <v>486.32</v>
      </c>
    </row>
    <row r="386" spans="1:6" x14ac:dyDescent="0.25">
      <c r="A386" s="1">
        <v>43224</v>
      </c>
      <c r="B386" s="2">
        <v>9695.5</v>
      </c>
      <c r="C386" s="2">
        <v>776.78</v>
      </c>
      <c r="D386" s="2">
        <v>160.47</v>
      </c>
      <c r="E386" s="2">
        <v>1501.4</v>
      </c>
      <c r="F386" s="2">
        <v>502.68</v>
      </c>
    </row>
    <row r="387" spans="1:6" x14ac:dyDescent="0.25">
      <c r="A387" s="1">
        <v>43223</v>
      </c>
      <c r="B387" s="2">
        <v>9233.9699999999993</v>
      </c>
      <c r="C387" s="2">
        <v>686.59</v>
      </c>
      <c r="D387" s="2">
        <v>151.86000000000001</v>
      </c>
      <c r="E387" s="2">
        <v>1459.55</v>
      </c>
      <c r="F387" s="2">
        <v>481.56</v>
      </c>
    </row>
    <row r="388" spans="1:6" x14ac:dyDescent="0.25">
      <c r="A388" s="1">
        <v>43222</v>
      </c>
      <c r="B388" s="2">
        <v>9104.6</v>
      </c>
      <c r="C388" s="2">
        <v>674.08</v>
      </c>
      <c r="D388" s="2">
        <v>148.44999999999999</v>
      </c>
      <c r="E388" s="2">
        <v>1353.54</v>
      </c>
      <c r="F388" s="2">
        <v>478.17</v>
      </c>
    </row>
    <row r="389" spans="1:6" x14ac:dyDescent="0.25">
      <c r="A389" s="1">
        <v>43221</v>
      </c>
      <c r="B389" s="2">
        <v>9251.4699999999993</v>
      </c>
      <c r="C389" s="2">
        <v>670.46</v>
      </c>
      <c r="D389" s="2">
        <v>148.34</v>
      </c>
      <c r="E389" s="2">
        <v>1348.64</v>
      </c>
      <c r="F389" s="2">
        <v>473.16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CF753-9E40-4300-9BB8-96C83651E467}">
  <dimension ref="A1:F389"/>
  <sheetViews>
    <sheetView topLeftCell="A352" workbookViewId="0">
      <selection activeCell="B389" sqref="B389"/>
    </sheetView>
  </sheetViews>
  <sheetFormatPr defaultRowHeight="15" x14ac:dyDescent="0.25"/>
  <cols>
    <col min="1" max="1" width="10.42578125" bestFit="1" customWidth="1"/>
    <col min="2" max="2" width="10.7109375" bestFit="1" customWidth="1"/>
    <col min="5" max="5" width="12.28515625" bestFit="1" customWidth="1"/>
  </cols>
  <sheetData>
    <row r="1" spans="1:6" x14ac:dyDescent="0.25">
      <c r="A1" s="4" t="s">
        <v>2207</v>
      </c>
      <c r="B1" s="4" t="s">
        <v>6208</v>
      </c>
      <c r="C1" s="4" t="s">
        <v>6207</v>
      </c>
      <c r="D1" s="4" t="s">
        <v>6209</v>
      </c>
      <c r="E1" s="4" t="s">
        <v>6210</v>
      </c>
      <c r="F1" s="4" t="s">
        <v>6211</v>
      </c>
    </row>
    <row r="2" spans="1:6" x14ac:dyDescent="0.25">
      <c r="A2" s="1">
        <v>43608</v>
      </c>
      <c r="B2">
        <f>('cryptocurrencies price'!B2-'cryptocurrencies price'!B3)/'cryptocurrencies price'!B3</f>
        <v>-3.5069108843443303E-2</v>
      </c>
    </row>
    <row r="3" spans="1:6" x14ac:dyDescent="0.25">
      <c r="A3" s="1">
        <v>43607</v>
      </c>
      <c r="B3">
        <f>('cryptocurrencies price'!B3-'cryptocurrencies price'!B4)/'cryptocurrencies price'!B4</f>
        <v>-2.7174832695535693E-3</v>
      </c>
    </row>
    <row r="4" spans="1:6" x14ac:dyDescent="0.25">
      <c r="A4" s="1">
        <v>43606</v>
      </c>
      <c r="B4">
        <f>('cryptocurrencies price'!B4-'cryptocurrencies price'!B5)/'cryptocurrencies price'!B5</f>
        <v>-2.671125251923891E-2</v>
      </c>
    </row>
    <row r="5" spans="1:6" x14ac:dyDescent="0.25">
      <c r="A5" s="1">
        <v>43605</v>
      </c>
      <c r="B5">
        <f>('cryptocurrencies price'!B5-'cryptocurrencies price'!B6)/'cryptocurrencies price'!B6</f>
        <v>0.12781578324591769</v>
      </c>
    </row>
    <row r="6" spans="1:6" x14ac:dyDescent="0.25">
      <c r="A6" s="1">
        <v>43604</v>
      </c>
      <c r="B6">
        <f>('cryptocurrencies price'!B6-'cryptocurrencies price'!B7)/'cryptocurrencies price'!B7</f>
        <v>-1.003860162415582E-2</v>
      </c>
    </row>
    <row r="7" spans="1:6" x14ac:dyDescent="0.25">
      <c r="A7" s="1">
        <v>43603</v>
      </c>
      <c r="B7">
        <f>('cryptocurrencies price'!B7-'cryptocurrencies price'!B8)/'cryptocurrencies price'!B8</f>
        <v>-6.9135899519838576E-2</v>
      </c>
    </row>
    <row r="8" spans="1:6" x14ac:dyDescent="0.25">
      <c r="A8" s="1">
        <v>43602</v>
      </c>
      <c r="B8">
        <f>('cryptocurrencies price'!B8-'cryptocurrencies price'!B9)/'cryptocurrencies price'!B9</f>
        <v>-3.7533711635853284E-2</v>
      </c>
    </row>
    <row r="9" spans="1:6" x14ac:dyDescent="0.25">
      <c r="A9" s="1">
        <v>43601</v>
      </c>
      <c r="B9">
        <f>('cryptocurrencies price'!B9-'cryptocurrencies price'!B10)/'cryptocurrencies price'!B10</f>
        <v>2.567536614276221E-2</v>
      </c>
    </row>
    <row r="10" spans="1:6" x14ac:dyDescent="0.25">
      <c r="A10" s="1">
        <v>43600</v>
      </c>
      <c r="B10">
        <f>('cryptocurrencies price'!B10-'cryptocurrencies price'!B11)/'cryptocurrencies price'!B11</f>
        <v>2.3244465847323446E-2</v>
      </c>
    </row>
    <row r="11" spans="1:6" x14ac:dyDescent="0.25">
      <c r="A11" s="1">
        <v>43599</v>
      </c>
      <c r="B11">
        <f>('cryptocurrencies price'!B11-'cryptocurrencies price'!B12)/'cryptocurrencies price'!B12</f>
        <v>0.12002272212164938</v>
      </c>
    </row>
    <row r="12" spans="1:6" x14ac:dyDescent="0.25">
      <c r="A12" s="1">
        <v>43598</v>
      </c>
      <c r="B12">
        <f>('cryptocurrencies price'!B12-'cryptocurrencies price'!B13)/'cryptocurrencies price'!B13</f>
        <v>-3.2252332543440621E-2</v>
      </c>
    </row>
    <row r="13" spans="1:6" x14ac:dyDescent="0.25">
      <c r="A13" s="1">
        <v>43597</v>
      </c>
      <c r="B13">
        <f>('cryptocurrencies price'!B13-'cryptocurrencies price'!B14)/'cryptocurrencies price'!B14</f>
        <v>0.12913520605297768</v>
      </c>
    </row>
    <row r="14" spans="1:6" x14ac:dyDescent="0.25">
      <c r="A14" s="1">
        <v>43596</v>
      </c>
      <c r="B14">
        <f>('cryptocurrencies price'!B14-'cryptocurrencies price'!B15)/'cryptocurrencies price'!B15</f>
        <v>3.3007762531939142E-2</v>
      </c>
    </row>
    <row r="15" spans="1:6" x14ac:dyDescent="0.25">
      <c r="A15" s="1">
        <v>43595</v>
      </c>
      <c r="B15">
        <f>('cryptocurrencies price'!B15-'cryptocurrencies price'!B16)/'cryptocurrencies price'!B16</f>
        <v>3.2345310849302616E-2</v>
      </c>
    </row>
    <row r="16" spans="1:6" x14ac:dyDescent="0.25">
      <c r="A16" s="1">
        <v>43594</v>
      </c>
      <c r="B16">
        <f>('cryptocurrencies price'!B16-'cryptocurrencies price'!B17)/'cryptocurrencies price'!B17</f>
        <v>2.270971094866555E-2</v>
      </c>
    </row>
    <row r="17" spans="1:2" x14ac:dyDescent="0.25">
      <c r="A17" s="1">
        <v>43593</v>
      </c>
      <c r="B17">
        <f>('cryptocurrencies price'!B17-'cryptocurrencies price'!B18)/'cryptocurrencies price'!B18</f>
        <v>1.8079922027290307E-2</v>
      </c>
    </row>
    <row r="18" spans="1:2" x14ac:dyDescent="0.25">
      <c r="A18" s="1">
        <v>43592</v>
      </c>
      <c r="B18">
        <f>('cryptocurrencies price'!B18-'cryptocurrencies price'!B19)/'cryptocurrencies price'!B19</f>
        <v>-7.9579535506905993E-3</v>
      </c>
    </row>
    <row r="19" spans="1:2" x14ac:dyDescent="0.25">
      <c r="A19" s="1">
        <v>43591</v>
      </c>
      <c r="B19">
        <f>('cryptocurrencies price'!B19-'cryptocurrencies price'!B20)/'cryptocurrencies price'!B20</f>
        <v>-6.7534774921241061E-3</v>
      </c>
    </row>
    <row r="20" spans="1:2" x14ac:dyDescent="0.25">
      <c r="A20" s="1">
        <v>43590</v>
      </c>
      <c r="B20">
        <f>('cryptocurrencies price'!B20-'cryptocurrencies price'!B21)/'cryptocurrencies price'!B21</f>
        <v>1.0724190529016136E-2</v>
      </c>
    </row>
    <row r="21" spans="1:2" x14ac:dyDescent="0.25">
      <c r="A21" s="1">
        <v>43589</v>
      </c>
      <c r="B21">
        <f>('cryptocurrencies price'!B21-'cryptocurrencies price'!B22)/'cryptocurrencies price'!B22</f>
        <v>4.7888040250292821E-2</v>
      </c>
    </row>
    <row r="22" spans="1:2" x14ac:dyDescent="0.25">
      <c r="A22" s="1">
        <v>43588</v>
      </c>
      <c r="B22">
        <f>('cryptocurrencies price'!B22-'cryptocurrencies price'!B23)/'cryptocurrencies price'!B23</f>
        <v>1.9089593182314613E-2</v>
      </c>
    </row>
    <row r="23" spans="1:2" x14ac:dyDescent="0.25">
      <c r="A23" s="1">
        <v>43587</v>
      </c>
      <c r="B23">
        <f>('cryptocurrencies price'!B23-'cryptocurrencies price'!B24)/'cryptocurrencies price'!B24</f>
        <v>9.6263999955148224E-3</v>
      </c>
    </row>
    <row r="24" spans="1:2" x14ac:dyDescent="0.25">
      <c r="A24" s="1">
        <v>43586</v>
      </c>
      <c r="B24">
        <f>('cryptocurrencies price'!B24-'cryptocurrencies price'!B25)/'cryptocurrencies price'!B25</f>
        <v>1.9661834736162169E-2</v>
      </c>
    </row>
    <row r="25" spans="1:2" x14ac:dyDescent="0.25">
      <c r="A25" s="1">
        <v>43585</v>
      </c>
      <c r="B25">
        <f>('cryptocurrencies price'!B25-'cryptocurrencies price'!B26)/'cryptocurrencies price'!B26</f>
        <v>-7.0257301044871785E-3</v>
      </c>
    </row>
    <row r="26" spans="1:2" x14ac:dyDescent="0.25">
      <c r="A26" s="1">
        <v>43584</v>
      </c>
      <c r="B26">
        <f>('cryptocurrencies price'!B26-'cryptocurrencies price'!B27)/'cryptocurrencies price'!B27</f>
        <v>2.4868402333190444E-3</v>
      </c>
    </row>
    <row r="27" spans="1:2" x14ac:dyDescent="0.25">
      <c r="A27" s="1">
        <v>43583</v>
      </c>
      <c r="B27">
        <f>('cryptocurrencies price'!B27-'cryptocurrencies price'!B28)/'cryptocurrencies price'!B28</f>
        <v>-1.4622679928099325E-3</v>
      </c>
    </row>
    <row r="28" spans="1:2" x14ac:dyDescent="0.25">
      <c r="A28" s="1">
        <v>43582</v>
      </c>
      <c r="B28">
        <f>('cryptocurrencies price'!B28-'cryptocurrencies price'!B29)/'cryptocurrencies price'!B29</f>
        <v>1.3275627123198293E-2</v>
      </c>
    </row>
    <row r="29" spans="1:2" x14ac:dyDescent="0.25">
      <c r="A29" s="1">
        <v>43581</v>
      </c>
      <c r="B29">
        <f>('cryptocurrencies price'!B29-'cryptocurrencies price'!B30)/'cryptocurrencies price'!B30</f>
        <v>-4.6870769703577453E-2</v>
      </c>
    </row>
    <row r="30" spans="1:2" x14ac:dyDescent="0.25">
      <c r="A30" s="1">
        <v>43580</v>
      </c>
      <c r="B30">
        <f>('cryptocurrencies price'!B30-'cryptocurrencies price'!B31)/'cryptocurrencies price'!B31</f>
        <v>-1.8844083560829967E-2</v>
      </c>
    </row>
    <row r="31" spans="1:2" x14ac:dyDescent="0.25">
      <c r="A31" s="1">
        <v>43579</v>
      </c>
      <c r="B31">
        <f>('cryptocurrencies price'!B31-'cryptocurrencies price'!B32)/'cryptocurrencies price'!B32</f>
        <v>3.1881497285794515E-2</v>
      </c>
    </row>
    <row r="32" spans="1:2" x14ac:dyDescent="0.25">
      <c r="A32" s="1">
        <v>43578</v>
      </c>
      <c r="B32">
        <f>('cryptocurrencies price'!B32-'cryptocurrencies price'!B33)/'cryptocurrencies price'!B33</f>
        <v>1.6353913136777691E-2</v>
      </c>
    </row>
    <row r="33" spans="1:2" x14ac:dyDescent="0.25">
      <c r="A33" s="1">
        <v>43577</v>
      </c>
      <c r="B33">
        <f>('cryptocurrencies price'!B33-'cryptocurrencies price'!B34)/'cryptocurrencies price'!B34</f>
        <v>-4.3835318635352229E-3</v>
      </c>
    </row>
    <row r="34" spans="1:2" x14ac:dyDescent="0.25">
      <c r="A34" s="1">
        <v>43576</v>
      </c>
      <c r="B34">
        <f>('cryptocurrencies price'!B34-'cryptocurrencies price'!B35)/'cryptocurrencies price'!B35</f>
        <v>5.9802117583180473E-3</v>
      </c>
    </row>
    <row r="35" spans="1:2" x14ac:dyDescent="0.25">
      <c r="A35" s="1">
        <v>43575</v>
      </c>
      <c r="B35">
        <f>('cryptocurrencies price'!B35-'cryptocurrencies price'!B36)/'cryptocurrencies price'!B36</f>
        <v>1.1343582193785037E-3</v>
      </c>
    </row>
    <row r="36" spans="1:2" x14ac:dyDescent="0.25">
      <c r="A36" s="1">
        <v>43574</v>
      </c>
      <c r="B36">
        <f>('cryptocurrencies price'!B36-'cryptocurrencies price'!B37)/'cryptocurrencies price'!B37</f>
        <v>8.8870185166848355E-3</v>
      </c>
    </row>
    <row r="37" spans="1:2" x14ac:dyDescent="0.25">
      <c r="A37" s="1">
        <v>43573</v>
      </c>
      <c r="B37">
        <f>('cryptocurrencies price'!B37-'cryptocurrencies price'!B38)/'cryptocurrencies price'!B38</f>
        <v>2.9296390088880808E-3</v>
      </c>
    </row>
    <row r="38" spans="1:2" x14ac:dyDescent="0.25">
      <c r="A38" s="1">
        <v>43572</v>
      </c>
      <c r="B38">
        <f>('cryptocurrencies price'!B38-'cryptocurrencies price'!B39)/'cryptocurrencies price'!B39</f>
        <v>3.346636192461195E-2</v>
      </c>
    </row>
    <row r="39" spans="1:2" x14ac:dyDescent="0.25">
      <c r="A39" s="1">
        <v>43571</v>
      </c>
      <c r="B39">
        <f>('cryptocurrencies price'!B39-'cryptocurrencies price'!B40)/'cryptocurrencies price'!B40</f>
        <v>-1.9495599266157272E-2</v>
      </c>
    </row>
    <row r="40" spans="1:2" x14ac:dyDescent="0.25">
      <c r="A40" s="1">
        <v>43570</v>
      </c>
      <c r="B40">
        <f>('cryptocurrencies price'!B40-'cryptocurrencies price'!B41)/'cryptocurrencies price'!B41</f>
        <v>1.4043047553259864E-2</v>
      </c>
    </row>
    <row r="41" spans="1:2" x14ac:dyDescent="0.25">
      <c r="A41" s="1">
        <v>43569</v>
      </c>
      <c r="B41">
        <f>('cryptocurrencies price'!B41-'cryptocurrencies price'!B42)/'cryptocurrencies price'!B42</f>
        <v>1.357870638749394E-3</v>
      </c>
    </row>
    <row r="42" spans="1:2" x14ac:dyDescent="0.25">
      <c r="A42" s="1">
        <v>43568</v>
      </c>
      <c r="B42">
        <f>('cryptocurrencies price'!B42-'cryptocurrencies price'!B43)/'cryptocurrencies price'!B43</f>
        <v>5.4631312732159459E-3</v>
      </c>
    </row>
    <row r="43" spans="1:2" x14ac:dyDescent="0.25">
      <c r="A43" s="1">
        <v>43567</v>
      </c>
      <c r="B43">
        <f>('cryptocurrencies price'!B43-'cryptocurrencies price'!B44)/'cryptocurrencies price'!B44</f>
        <v>-4.9554185101444506E-2</v>
      </c>
    </row>
    <row r="44" spans="1:2" x14ac:dyDescent="0.25">
      <c r="A44" s="1">
        <v>43566</v>
      </c>
      <c r="B44">
        <f>('cryptocurrencies price'!B44-'cryptocurrencies price'!B45)/'cryptocurrencies price'!B45</f>
        <v>2.3245088977750329E-2</v>
      </c>
    </row>
    <row r="45" spans="1:2" x14ac:dyDescent="0.25">
      <c r="A45" s="1">
        <v>43565</v>
      </c>
      <c r="B45">
        <f>('cryptocurrencies price'!B45-'cryptocurrencies price'!B46)/'cryptocurrencies price'!B46</f>
        <v>-1.6221417337124268E-2</v>
      </c>
    </row>
    <row r="46" spans="1:2" x14ac:dyDescent="0.25">
      <c r="A46" s="1">
        <v>43564</v>
      </c>
      <c r="B46">
        <f>('cryptocurrencies price'!B46-'cryptocurrencies price'!B47)/'cryptocurrencies price'!B47</f>
        <v>1.7323609957229438E-2</v>
      </c>
    </row>
    <row r="47" spans="1:2" x14ac:dyDescent="0.25">
      <c r="A47" s="1">
        <v>43563</v>
      </c>
      <c r="B47">
        <f>('cryptocurrencies price'!B47-'cryptocurrencies price'!B48)/'cryptocurrencies price'!B48</f>
        <v>2.7070054258620285E-2</v>
      </c>
    </row>
    <row r="48" spans="1:2" x14ac:dyDescent="0.25">
      <c r="A48" s="1">
        <v>43562</v>
      </c>
      <c r="B48">
        <f>('cryptocurrencies price'!B48-'cryptocurrencies price'!B49)/'cryptocurrencies price'!B49</f>
        <v>5.1620178724941877E-3</v>
      </c>
    </row>
    <row r="49" spans="1:2" x14ac:dyDescent="0.25">
      <c r="A49" s="1">
        <v>43561</v>
      </c>
      <c r="B49">
        <f>('cryptocurrencies price'!B49-'cryptocurrencies price'!B50)/'cryptocurrencies price'!B50</f>
        <v>2.3153442850729473E-2</v>
      </c>
    </row>
    <row r="50" spans="1:2" x14ac:dyDescent="0.25">
      <c r="A50" s="1">
        <v>43560</v>
      </c>
      <c r="B50">
        <f>('cryptocurrencies price'!B50-'cryptocurrencies price'!B51)/'cryptocurrencies price'!B51</f>
        <v>-9.7559798121621862E-3</v>
      </c>
    </row>
    <row r="51" spans="1:2" x14ac:dyDescent="0.25">
      <c r="A51" s="1">
        <v>43559</v>
      </c>
      <c r="B51">
        <f>('cryptocurrencies price'!B51-'cryptocurrencies price'!B52)/'cryptocurrencies price'!B52</f>
        <v>1.8719415732915919E-2</v>
      </c>
    </row>
    <row r="52" spans="1:2" x14ac:dyDescent="0.25">
      <c r="A52" s="1">
        <v>43558</v>
      </c>
      <c r="B52">
        <f>('cryptocurrencies price'!B52-'cryptocurrencies price'!B53)/'cryptocurrencies price'!B53</f>
        <v>0.17393647219576031</v>
      </c>
    </row>
    <row r="53" spans="1:2" x14ac:dyDescent="0.25">
      <c r="A53" s="1">
        <v>43557</v>
      </c>
      <c r="B53">
        <f>('cryptocurrencies price'!B53-'cryptocurrencies price'!B54)/'cryptocurrencies price'!B54</f>
        <v>1.2559190911393984E-2</v>
      </c>
    </row>
    <row r="54" spans="1:2" x14ac:dyDescent="0.25">
      <c r="A54" s="1">
        <v>43556</v>
      </c>
      <c r="B54">
        <f>('cryptocurrencies price'!B54-'cryptocurrencies price'!B55)/'cryptocurrencies price'!B55</f>
        <v>-2.4357806433472447E-5</v>
      </c>
    </row>
    <row r="55" spans="1:2" x14ac:dyDescent="0.25">
      <c r="A55" s="1">
        <v>43555</v>
      </c>
      <c r="B55">
        <f>('cryptocurrencies price'!B55-'cryptocurrencies price'!B56)/'cryptocurrencies price'!B56</f>
        <v>3.2550206004682549E-3</v>
      </c>
    </row>
    <row r="56" spans="1:2" x14ac:dyDescent="0.25">
      <c r="A56" s="1">
        <v>43554</v>
      </c>
      <c r="B56">
        <f>('cryptocurrencies price'!B56-'cryptocurrencies price'!B57)/'cryptocurrencies price'!B57</f>
        <v>5.8599414989061009E-3</v>
      </c>
    </row>
    <row r="57" spans="1:2" x14ac:dyDescent="0.25">
      <c r="A57" s="1">
        <v>43553</v>
      </c>
      <c r="B57">
        <f>('cryptocurrencies price'!B57-'cryptocurrencies price'!B58)/'cryptocurrencies price'!B58</f>
        <v>-4.7167272567141798E-3</v>
      </c>
    </row>
    <row r="58" spans="1:2" x14ac:dyDescent="0.25">
      <c r="A58" s="1">
        <v>43552</v>
      </c>
      <c r="B58">
        <f>('cryptocurrencies price'!B58-'cryptocurrencies price'!B59)/'cryptocurrencies price'!B59</f>
        <v>2.5937192538602129E-2</v>
      </c>
    </row>
    <row r="59" spans="1:2" x14ac:dyDescent="0.25">
      <c r="A59" s="1">
        <v>43551</v>
      </c>
      <c r="B59">
        <f>('cryptocurrencies price'!B59-'cryptocurrencies price'!B60)/'cryptocurrencies price'!B60</f>
        <v>3.7815898801530179E-3</v>
      </c>
    </row>
    <row r="60" spans="1:2" x14ac:dyDescent="0.25">
      <c r="A60" s="1">
        <v>43550</v>
      </c>
      <c r="B60">
        <f>('cryptocurrencies price'!B60-'cryptocurrencies price'!B61)/'cryptocurrencies price'!B61</f>
        <v>-1.3637798171521182E-2</v>
      </c>
    </row>
    <row r="61" spans="1:2" x14ac:dyDescent="0.25">
      <c r="A61" s="1">
        <v>43549</v>
      </c>
      <c r="B61">
        <f>('cryptocurrencies price'!B61-'cryptocurrencies price'!B62)/'cryptocurrencies price'!B62</f>
        <v>-2.7384292072680457E-3</v>
      </c>
    </row>
    <row r="62" spans="1:2" x14ac:dyDescent="0.25">
      <c r="A62" s="1">
        <v>43548</v>
      </c>
      <c r="B62">
        <f>('cryptocurrencies price'!B62-'cryptocurrencies price'!B63)/'cryptocurrencies price'!B63</f>
        <v>3.0949285431959594E-3</v>
      </c>
    </row>
    <row r="63" spans="1:2" x14ac:dyDescent="0.25">
      <c r="A63" s="1">
        <v>43547</v>
      </c>
      <c r="B63">
        <f>('cryptocurrencies price'!B63-'cryptocurrencies price'!B64)/'cryptocurrencies price'!B64</f>
        <v>-1.4397382655126044E-3</v>
      </c>
    </row>
    <row r="64" spans="1:2" x14ac:dyDescent="0.25">
      <c r="A64" s="1">
        <v>43546</v>
      </c>
      <c r="B64">
        <f>('cryptocurrencies price'!B64-'cryptocurrencies price'!B65)/'cryptocurrencies price'!B65</f>
        <v>-1.3575092741096145E-2</v>
      </c>
    </row>
    <row r="65" spans="1:2" x14ac:dyDescent="0.25">
      <c r="A65" s="1">
        <v>43545</v>
      </c>
      <c r="B65">
        <f>('cryptocurrencies price'!B65-'cryptocurrencies price'!B66)/'cryptocurrencies price'!B66</f>
        <v>3.2327877389892023E-3</v>
      </c>
    </row>
    <row r="66" spans="1:2" x14ac:dyDescent="0.25">
      <c r="A66" s="1">
        <v>43544</v>
      </c>
      <c r="B66">
        <f>('cryptocurrencies price'!B66-'cryptocurrencies price'!B67)/'cryptocurrencies price'!B67</f>
        <v>9.4477879529544576E-3</v>
      </c>
    </row>
    <row r="67" spans="1:2" x14ac:dyDescent="0.25">
      <c r="A67" s="1">
        <v>43543</v>
      </c>
      <c r="B67">
        <f>('cryptocurrencies price'!B67-'cryptocurrencies price'!B68)/'cryptocurrencies price'!B68</f>
        <v>6.7494298965011022E-4</v>
      </c>
    </row>
    <row r="68" spans="1:2" x14ac:dyDescent="0.25">
      <c r="A68" s="1">
        <v>43542</v>
      </c>
      <c r="B68">
        <f>('cryptocurrencies price'!B68-'cryptocurrencies price'!B69)/'cryptocurrencies price'!B69</f>
        <v>-4.3851847459804531E-3</v>
      </c>
    </row>
    <row r="69" spans="1:2" x14ac:dyDescent="0.25">
      <c r="A69" s="1">
        <v>43541</v>
      </c>
      <c r="B69">
        <f>('cryptocurrencies price'!B69-'cryptocurrencies price'!B70)/'cryptocurrencies price'!B70</f>
        <v>2.1145841216983201E-2</v>
      </c>
    </row>
    <row r="70" spans="1:2" x14ac:dyDescent="0.25">
      <c r="A70" s="1">
        <v>43540</v>
      </c>
      <c r="B70">
        <f>('cryptocurrencies price'!B70-'cryptocurrencies price'!B71)/'cryptocurrencies price'!B71</f>
        <v>9.4838870694178359E-3</v>
      </c>
    </row>
    <row r="71" spans="1:2" x14ac:dyDescent="0.25">
      <c r="A71" s="1">
        <v>43539</v>
      </c>
      <c r="B71">
        <f>('cryptocurrencies price'!B71-'cryptocurrencies price'!B72)/'cryptocurrencies price'!B72</f>
        <v>5.3974057630364579E-3</v>
      </c>
    </row>
    <row r="72" spans="1:2" x14ac:dyDescent="0.25">
      <c r="A72" s="1">
        <v>43538</v>
      </c>
      <c r="B72">
        <f>('cryptocurrencies price'!B72-'cryptocurrencies price'!B73)/'cryptocurrencies price'!B73</f>
        <v>-1.9089968183387011E-3</v>
      </c>
    </row>
    <row r="73" spans="1:2" x14ac:dyDescent="0.25">
      <c r="A73" s="1">
        <v>43537</v>
      </c>
      <c r="B73">
        <f>('cryptocurrencies price'!B73-'cryptocurrencies price'!B74)/'cryptocurrencies price'!B74</f>
        <v>2.3797569522716468E-3</v>
      </c>
    </row>
    <row r="74" spans="1:2" x14ac:dyDescent="0.25">
      <c r="A74" s="1">
        <v>43536</v>
      </c>
      <c r="B74">
        <f>('cryptocurrencies price'!B74-'cryptocurrencies price'!B75)/'cryptocurrencies price'!B75</f>
        <v>-1.2641195425091069E-2</v>
      </c>
    </row>
    <row r="75" spans="1:2" x14ac:dyDescent="0.25">
      <c r="A75" s="1">
        <v>43535</v>
      </c>
      <c r="B75">
        <f>('cryptocurrencies price'!B75-'cryptocurrencies price'!B76)/'cryptocurrencies price'!B76</f>
        <v>-3.1340058545146301E-3</v>
      </c>
    </row>
    <row r="76" spans="1:2" x14ac:dyDescent="0.25">
      <c r="A76" s="1">
        <v>43534</v>
      </c>
      <c r="B76">
        <f>('cryptocurrencies price'!B76-'cryptocurrencies price'!B77)/'cryptocurrencies price'!B77</f>
        <v>1.8389801132351592E-2</v>
      </c>
    </row>
    <row r="77" spans="1:2" x14ac:dyDescent="0.25">
      <c r="A77" s="1">
        <v>43533</v>
      </c>
      <c r="B77">
        <f>('cryptocurrencies price'!B77-'cryptocurrencies price'!B78)/'cryptocurrencies price'!B78</f>
        <v>-4.7735502385496988E-3</v>
      </c>
    </row>
    <row r="78" spans="1:2" x14ac:dyDescent="0.25">
      <c r="A78" s="1">
        <v>43532</v>
      </c>
      <c r="B78">
        <f>('cryptocurrencies price'!B78-'cryptocurrencies price'!B79)/'cryptocurrencies price'!B79</f>
        <v>2.5234540321464752E-3</v>
      </c>
    </row>
    <row r="79" spans="1:2" x14ac:dyDescent="0.25">
      <c r="A79" s="1">
        <v>43531</v>
      </c>
      <c r="B79">
        <f>('cryptocurrencies price'!B79-'cryptocurrencies price'!B80)/'cryptocurrencies price'!B80</f>
        <v>1.6165949890687853E-3</v>
      </c>
    </row>
    <row r="80" spans="1:2" x14ac:dyDescent="0.25">
      <c r="A80" s="1">
        <v>43530</v>
      </c>
      <c r="B80">
        <f>('cryptocurrencies price'!B80-'cryptocurrencies price'!B81)/'cryptocurrencies price'!B81</f>
        <v>3.6504310035294148E-2</v>
      </c>
    </row>
    <row r="81" spans="1:2" x14ac:dyDescent="0.25">
      <c r="A81" s="1">
        <v>43529</v>
      </c>
      <c r="B81">
        <f>('cryptocurrencies price'!B81-'cryptocurrencies price'!B82)/'cryptocurrencies price'!B82</f>
        <v>-2.2173733254618282E-2</v>
      </c>
    </row>
    <row r="82" spans="1:2" x14ac:dyDescent="0.25">
      <c r="A82" s="1">
        <v>43528</v>
      </c>
      <c r="B82">
        <f>('cryptocurrencies price'!B82-'cryptocurrencies price'!B83)/'cryptocurrencies price'!B83</f>
        <v>-4.4481613144601063E-3</v>
      </c>
    </row>
    <row r="83" spans="1:2" x14ac:dyDescent="0.25">
      <c r="A83" s="1">
        <v>43527</v>
      </c>
      <c r="B83">
        <f>('cryptocurrencies price'!B83-'cryptocurrencies price'!B84)/'cryptocurrencies price'!B84</f>
        <v>1.8027037963125804E-3</v>
      </c>
    </row>
    <row r="84" spans="1:2" x14ac:dyDescent="0.25">
      <c r="A84" s="1">
        <v>43526</v>
      </c>
      <c r="B84">
        <f>('cryptocurrencies price'!B84-'cryptocurrencies price'!B85)/'cryptocurrencies price'!B85</f>
        <v>4.0479946857093987E-4</v>
      </c>
    </row>
    <row r="85" spans="1:2" x14ac:dyDescent="0.25">
      <c r="A85" s="1">
        <v>43525</v>
      </c>
      <c r="B85">
        <f>('cryptocurrencies price'!B85-'cryptocurrencies price'!B86)/'cryptocurrencies price'!B86</f>
        <v>1.42921736057335E-3</v>
      </c>
    </row>
    <row r="86" spans="1:2" x14ac:dyDescent="0.25">
      <c r="A86" s="1">
        <v>43524</v>
      </c>
      <c r="B86">
        <f>('cryptocurrencies price'!B86-'cryptocurrencies price'!B87)/'cryptocurrencies price'!B87</f>
        <v>-2.3901614525544657E-3</v>
      </c>
    </row>
    <row r="87" spans="1:2" x14ac:dyDescent="0.25">
      <c r="A87" s="1">
        <v>43523</v>
      </c>
      <c r="B87">
        <f>('cryptocurrencies price'!B87-'cryptocurrencies price'!B88)/'cryptocurrencies price'!B88</f>
        <v>-5.470905200195891E-3</v>
      </c>
    </row>
    <row r="88" spans="1:2" x14ac:dyDescent="0.25">
      <c r="A88" s="1">
        <v>43522</v>
      </c>
      <c r="B88">
        <f>('cryptocurrencies price'!B88-'cryptocurrencies price'!B89)/'cryptocurrencies price'!B89</f>
        <v>1.8833727344365593E-2</v>
      </c>
    </row>
    <row r="89" spans="1:2" x14ac:dyDescent="0.25">
      <c r="A89" s="1">
        <v>43521</v>
      </c>
      <c r="B89">
        <f>('cryptocurrencies price'!B89-'cryptocurrencies price'!B90)/'cryptocurrencies price'!B90</f>
        <v>-8.1645945202703685E-2</v>
      </c>
    </row>
    <row r="90" spans="1:2" x14ac:dyDescent="0.25">
      <c r="A90" s="1">
        <v>43520</v>
      </c>
      <c r="B90">
        <f>('cryptocurrencies price'!B90-'cryptocurrencies price'!B91)/'cryptocurrencies price'!B91</f>
        <v>3.6644894121412773E-2</v>
      </c>
    </row>
    <row r="91" spans="1:2" x14ac:dyDescent="0.25">
      <c r="A91" s="1">
        <v>43519</v>
      </c>
      <c r="B91">
        <f>('cryptocurrencies price'!B91-'cryptocurrencies price'!B92)/'cryptocurrencies price'!B92</f>
        <v>1.1767503877381198E-2</v>
      </c>
    </row>
    <row r="92" spans="1:2" x14ac:dyDescent="0.25">
      <c r="A92" s="1">
        <v>43518</v>
      </c>
      <c r="B92">
        <f>('cryptocurrencies price'!B92-'cryptocurrencies price'!B93)/'cryptocurrencies price'!B93</f>
        <v>-1.1961722488038368E-2</v>
      </c>
    </row>
    <row r="93" spans="1:2" x14ac:dyDescent="0.25">
      <c r="A93" s="1">
        <v>43517</v>
      </c>
      <c r="B93">
        <f>('cryptocurrencies price'!B93-'cryptocurrencies price'!B94)/'cryptocurrencies price'!B94</f>
        <v>1.357596764875804E-2</v>
      </c>
    </row>
    <row r="94" spans="1:2" x14ac:dyDescent="0.25">
      <c r="A94" s="1">
        <v>43516</v>
      </c>
      <c r="B94">
        <f>('cryptocurrencies price'!B94-'cryptocurrencies price'!B95)/'cryptocurrencies price'!B95</f>
        <v>8.9527208397457807E-3</v>
      </c>
    </row>
    <row r="95" spans="1:2" x14ac:dyDescent="0.25">
      <c r="A95" s="1">
        <v>43515</v>
      </c>
      <c r="B95">
        <f>('cryptocurrencies price'!B95-'cryptocurrencies price'!B96)/'cryptocurrencies price'!B96</f>
        <v>6.5449682271195755E-2</v>
      </c>
    </row>
    <row r="96" spans="1:2" x14ac:dyDescent="0.25">
      <c r="A96" s="1">
        <v>43514</v>
      </c>
      <c r="B96">
        <f>('cryptocurrencies price'!B96-'cryptocurrencies price'!B97)/'cryptocurrencies price'!B97</f>
        <v>1.0461391109056015E-2</v>
      </c>
    </row>
    <row r="97" spans="1:2" x14ac:dyDescent="0.25">
      <c r="A97" s="1">
        <v>43513</v>
      </c>
      <c r="B97">
        <f>('cryptocurrencies price'!B97-'cryptocurrencies price'!B98)/'cryptocurrencies price'!B98</f>
        <v>5.0037756516111229E-3</v>
      </c>
    </row>
    <row r="98" spans="1:2" x14ac:dyDescent="0.25">
      <c r="A98" s="1">
        <v>43512</v>
      </c>
      <c r="B98">
        <f>('cryptocurrencies price'!B98-'cryptocurrencies price'!B99)/'cryptocurrencies price'!B99</f>
        <v>-5.8053226515394029E-4</v>
      </c>
    </row>
    <row r="99" spans="1:2" x14ac:dyDescent="0.25">
      <c r="A99" s="1">
        <v>43511</v>
      </c>
      <c r="B99">
        <f>('cryptocurrencies price'!B99-'cryptocurrencies price'!B100)/'cryptocurrencies price'!B100</f>
        <v>-3.8004279612356847E-3</v>
      </c>
    </row>
    <row r="100" spans="1:2" x14ac:dyDescent="0.25">
      <c r="A100" s="1">
        <v>43510</v>
      </c>
      <c r="B100">
        <f>('cryptocurrencies price'!B100-'cryptocurrencies price'!B101)/'cryptocurrencies price'!B101</f>
        <v>-6.1391504269760885E-3</v>
      </c>
    </row>
    <row r="101" spans="1:2" x14ac:dyDescent="0.25">
      <c r="A101" s="1">
        <v>43509</v>
      </c>
      <c r="B101">
        <f>('cryptocurrencies price'!B101-'cryptocurrencies price'!B102)/'cryptocurrencies price'!B102</f>
        <v>2.9785189760482902E-3</v>
      </c>
    </row>
    <row r="102" spans="1:2" x14ac:dyDescent="0.25">
      <c r="A102" s="1">
        <v>43508</v>
      </c>
      <c r="B102">
        <f>('cryptocurrencies price'!B102-'cryptocurrencies price'!B103)/'cryptocurrencies price'!B103</f>
        <v>-1.4303457345336798E-2</v>
      </c>
    </row>
    <row r="103" spans="1:2" x14ac:dyDescent="0.25">
      <c r="A103" s="1">
        <v>43507</v>
      </c>
      <c r="B103">
        <f>('cryptocurrencies price'!B103-'cryptocurrencies price'!B104)/'cryptocurrencies price'!B104</f>
        <v>6.100947402809624E-3</v>
      </c>
    </row>
    <row r="104" spans="1:2" x14ac:dyDescent="0.25">
      <c r="A104" s="1">
        <v>43506</v>
      </c>
      <c r="B104">
        <f>('cryptocurrencies price'!B104-'cryptocurrencies price'!B105)/'cryptocurrencies price'!B105</f>
        <v>4.3850212033469762E-4</v>
      </c>
    </row>
    <row r="105" spans="1:2" x14ac:dyDescent="0.25">
      <c r="A105" s="1">
        <v>43505</v>
      </c>
      <c r="B105">
        <f>('cryptocurrencies price'!B105-'cryptocurrencies price'!B106)/'cryptocurrencies price'!B106</f>
        <v>7.94412855958464E-2</v>
      </c>
    </row>
    <row r="106" spans="1:2" x14ac:dyDescent="0.25">
      <c r="A106" s="1">
        <v>43504</v>
      </c>
      <c r="B106">
        <f>('cryptocurrencies price'!B106-'cryptocurrencies price'!B107)/'cryptocurrencies price'!B107</f>
        <v>-3.9678704980774795E-3</v>
      </c>
    </row>
    <row r="107" spans="1:2" x14ac:dyDescent="0.25">
      <c r="A107" s="1">
        <v>43503</v>
      </c>
      <c r="B107">
        <f>('cryptocurrencies price'!B107-'cryptocurrencies price'!B108)/'cryptocurrencies price'!B108</f>
        <v>-1.5612163420378343E-2</v>
      </c>
    </row>
    <row r="108" spans="1:2" x14ac:dyDescent="0.25">
      <c r="A108" s="1">
        <v>43502</v>
      </c>
      <c r="B108">
        <f>('cryptocurrencies price'!B108-'cryptocurrencies price'!B109)/'cryptocurrencies price'!B109</f>
        <v>4.0926786205300594E-3</v>
      </c>
    </row>
    <row r="109" spans="1:2" x14ac:dyDescent="0.25">
      <c r="A109" s="1">
        <v>43501</v>
      </c>
      <c r="B109">
        <f>('cryptocurrencies price'!B109-'cryptocurrencies price'!B110)/'cryptocurrencies price'!B110</f>
        <v>-3.5359842640048391E-3</v>
      </c>
    </row>
    <row r="110" spans="1:2" x14ac:dyDescent="0.25">
      <c r="A110" s="1">
        <v>43500</v>
      </c>
      <c r="B110">
        <f>('cryptocurrencies price'!B110-'cryptocurrencies price'!B111)/'cryptocurrencies price'!B111</f>
        <v>-1.3915828152462598E-2</v>
      </c>
    </row>
    <row r="111" spans="1:2" x14ac:dyDescent="0.25">
      <c r="A111" s="1">
        <v>43499</v>
      </c>
      <c r="B111">
        <f>('cryptocurrencies price'!B111-'cryptocurrencies price'!B112)/'cryptocurrencies price'!B112</f>
        <v>9.0425669296309106E-3</v>
      </c>
    </row>
    <row r="112" spans="1:2" x14ac:dyDescent="0.25">
      <c r="A112" s="1">
        <v>43498</v>
      </c>
      <c r="B112">
        <f>('cryptocurrencies price'!B112-'cryptocurrencies price'!B113)/'cryptocurrencies price'!B113</f>
        <v>6.9584314632066945E-3</v>
      </c>
    </row>
    <row r="113" spans="1:2" x14ac:dyDescent="0.25">
      <c r="A113" s="1">
        <v>43497</v>
      </c>
      <c r="B113">
        <f>('cryptocurrencies price'!B113-'cryptocurrencies price'!B114)/'cryptocurrencies price'!B114</f>
        <v>-7.132589853130528E-3</v>
      </c>
    </row>
    <row r="114" spans="1:2" x14ac:dyDescent="0.25">
      <c r="A114" s="1">
        <v>43496</v>
      </c>
      <c r="B114">
        <f>('cryptocurrencies price'!B114-'cryptocurrencies price'!B115)/'cryptocurrencies price'!B115</f>
        <v>1.2053195505095898E-2</v>
      </c>
    </row>
    <row r="115" spans="1:2" x14ac:dyDescent="0.25">
      <c r="A115" s="1">
        <v>43495</v>
      </c>
      <c r="B115">
        <f>('cryptocurrencies price'!B115-'cryptocurrencies price'!B116)/'cryptocurrencies price'!B116</f>
        <v>-7.1983095359583384E-3</v>
      </c>
    </row>
    <row r="116" spans="1:2" x14ac:dyDescent="0.25">
      <c r="A116" s="1">
        <v>43494</v>
      </c>
      <c r="B116">
        <f>('cryptocurrencies price'!B116-'cryptocurrencies price'!B117)/'cryptocurrencies price'!B117</f>
        <v>-3.219893535103293E-2</v>
      </c>
    </row>
    <row r="117" spans="1:2" x14ac:dyDescent="0.25">
      <c r="A117" s="1">
        <v>43493</v>
      </c>
      <c r="B117">
        <f>('cryptocurrencies price'!B117-'cryptocurrencies price'!B118)/'cryptocurrencies price'!B118</f>
        <v>-5.6620680280412058E-3</v>
      </c>
    </row>
    <row r="118" spans="1:2" x14ac:dyDescent="0.25">
      <c r="A118" s="1">
        <v>43492</v>
      </c>
      <c r="B118">
        <f>('cryptocurrencies price'!B118-'cryptocurrencies price'!B119)/'cryptocurrencies price'!B119</f>
        <v>1.3806629404509948E-3</v>
      </c>
    </row>
    <row r="119" spans="1:2" x14ac:dyDescent="0.25">
      <c r="A119" s="1">
        <v>43491</v>
      </c>
      <c r="B119">
        <f>('cryptocurrencies price'!B119-'cryptocurrencies price'!B120)/'cryptocurrencies price'!B120</f>
        <v>-2.1261909580056696E-3</v>
      </c>
    </row>
    <row r="120" spans="1:2" x14ac:dyDescent="0.25">
      <c r="A120" s="1">
        <v>43490</v>
      </c>
      <c r="B120">
        <f>('cryptocurrencies price'!B120-'cryptocurrencies price'!B121)/'cryptocurrencies price'!B121</f>
        <v>6.3858278699957796E-3</v>
      </c>
    </row>
    <row r="121" spans="1:2" x14ac:dyDescent="0.25">
      <c r="A121" s="1">
        <v>43489</v>
      </c>
      <c r="B121">
        <f>('cryptocurrencies price'!B121-'cryptocurrencies price'!B122)/'cryptocurrencies price'!B122</f>
        <v>-5.84097893253751E-3</v>
      </c>
    </row>
    <row r="122" spans="1:2" x14ac:dyDescent="0.25">
      <c r="A122" s="1">
        <v>43488</v>
      </c>
      <c r="B122">
        <f>('cryptocurrencies price'!B122-'cryptocurrencies price'!B123)/'cryptocurrencies price'!B123</f>
        <v>8.5256833413518071E-3</v>
      </c>
    </row>
    <row r="123" spans="1:2" x14ac:dyDescent="0.25">
      <c r="A123" s="1">
        <v>43487</v>
      </c>
      <c r="B123">
        <f>('cryptocurrencies price'!B123-'cryptocurrencies price'!B124)/'cryptocurrencies price'!B124</f>
        <v>-7.0242780603104581E-3</v>
      </c>
    </row>
    <row r="124" spans="1:2" x14ac:dyDescent="0.25">
      <c r="A124" s="1">
        <v>43486</v>
      </c>
      <c r="B124">
        <f>('cryptocurrencies price'!B124-'cryptocurrencies price'!B125)/'cryptocurrencies price'!B125</f>
        <v>-3.3574467513991582E-2</v>
      </c>
    </row>
    <row r="125" spans="1:2" x14ac:dyDescent="0.25">
      <c r="A125" s="1">
        <v>43485</v>
      </c>
      <c r="B125">
        <f>('cryptocurrencies price'!B125-'cryptocurrencies price'!B126)/'cryptocurrencies price'!B126</f>
        <v>2.0006132987257542E-2</v>
      </c>
    </row>
    <row r="126" spans="1:2" x14ac:dyDescent="0.25">
      <c r="A126" s="1">
        <v>43484</v>
      </c>
      <c r="B126">
        <f>('cryptocurrencies price'!B126-'cryptocurrencies price'!B127)/'cryptocurrencies price'!B127</f>
        <v>-6.9630423138724341E-3</v>
      </c>
    </row>
    <row r="127" spans="1:2" x14ac:dyDescent="0.25">
      <c r="A127" s="1">
        <v>43483</v>
      </c>
      <c r="B127">
        <f>('cryptocurrencies price'!B127-'cryptocurrencies price'!B128)/'cryptocurrencies price'!B128</f>
        <v>7.1524999520793161E-3</v>
      </c>
    </row>
    <row r="128" spans="1:2" x14ac:dyDescent="0.25">
      <c r="A128" s="1">
        <v>43482</v>
      </c>
      <c r="B128">
        <f>('cryptocurrencies price'!B128-'cryptocurrencies price'!B129)/'cryptocurrencies price'!B129</f>
        <v>5.6064832535225491E-3</v>
      </c>
    </row>
    <row r="129" spans="1:2" x14ac:dyDescent="0.25">
      <c r="A129" s="1">
        <v>43481</v>
      </c>
      <c r="B129">
        <f>('cryptocurrencies price'!B129-'cryptocurrencies price'!B130)/'cryptocurrencies price'!B130</f>
        <v>-1.9628963722456979E-2</v>
      </c>
    </row>
    <row r="130" spans="1:2" x14ac:dyDescent="0.25">
      <c r="A130" s="1">
        <v>43480</v>
      </c>
      <c r="B130">
        <f>('cryptocurrencies price'!B130-'cryptocurrencies price'!B131)/'cryptocurrencies price'!B131</f>
        <v>4.1298059488770966E-2</v>
      </c>
    </row>
    <row r="131" spans="1:2" x14ac:dyDescent="0.25">
      <c r="A131" s="1">
        <v>43479</v>
      </c>
      <c r="B131">
        <f>('cryptocurrencies price'!B131-'cryptocurrencies price'!B132)/'cryptocurrencies price'!B132</f>
        <v>-2.7757203726833681E-2</v>
      </c>
    </row>
    <row r="132" spans="1:2" x14ac:dyDescent="0.25">
      <c r="A132" s="1">
        <v>43478</v>
      </c>
      <c r="B132">
        <f>('cryptocurrencies price'!B132-'cryptocurrencies price'!B133)/'cryptocurrencies price'!B133</f>
        <v>-7.6214344027751542E-3</v>
      </c>
    </row>
    <row r="133" spans="1:2" x14ac:dyDescent="0.25">
      <c r="A133" s="1">
        <v>43477</v>
      </c>
      <c r="B133">
        <f>('cryptocurrencies price'!B133-'cryptocurrencies price'!B134)/'cryptocurrencies price'!B134</f>
        <v>3.5247494569980073E-3</v>
      </c>
    </row>
    <row r="134" spans="1:2" x14ac:dyDescent="0.25">
      <c r="A134" s="1">
        <v>43476</v>
      </c>
      <c r="B134">
        <f>('cryptocurrencies price'!B134-'cryptocurrencies price'!B135)/'cryptocurrencies price'!B135</f>
        <v>-8.9329046874264115E-2</v>
      </c>
    </row>
    <row r="135" spans="1:2" x14ac:dyDescent="0.25">
      <c r="A135" s="1">
        <v>43475</v>
      </c>
      <c r="B135">
        <f>('cryptocurrencies price'!B135-'cryptocurrencies price'!B136)/'cryptocurrencies price'!B136</f>
        <v>7.0940457144266409E-4</v>
      </c>
    </row>
    <row r="136" spans="1:2" x14ac:dyDescent="0.25">
      <c r="A136" s="1">
        <v>43474</v>
      </c>
      <c r="B136">
        <f>('cryptocurrencies price'!B136-'cryptocurrencies price'!B137)/'cryptocurrencies price'!B137</f>
        <v>7.6455825660868323E-4</v>
      </c>
    </row>
    <row r="137" spans="1:2" x14ac:dyDescent="0.25">
      <c r="A137" s="1">
        <v>43473</v>
      </c>
      <c r="B137">
        <f>('cryptocurrencies price'!B137-'cryptocurrencies price'!B138)/'cryptocurrencies price'!B138</f>
        <v>-1.2288560507430348E-2</v>
      </c>
    </row>
    <row r="138" spans="1:2" x14ac:dyDescent="0.25">
      <c r="A138" s="1">
        <v>43472</v>
      </c>
      <c r="B138">
        <f>('cryptocurrencies price'!B138-'cryptocurrencies price'!B139)/'cryptocurrencies price'!B139</f>
        <v>6.3096243470645311E-2</v>
      </c>
    </row>
    <row r="139" spans="1:2" x14ac:dyDescent="0.25">
      <c r="A139" s="1">
        <v>43471</v>
      </c>
      <c r="B139">
        <f>('cryptocurrencies price'!B139-'cryptocurrencies price'!B140)/'cryptocurrencies price'!B140</f>
        <v>-4.0109346646001447E-3</v>
      </c>
    </row>
    <row r="140" spans="1:2" x14ac:dyDescent="0.25">
      <c r="A140" s="1">
        <v>43470</v>
      </c>
      <c r="B140">
        <f>('cryptocurrencies price'!B140-'cryptocurrencies price'!B141)/'cryptocurrencies price'!B141</f>
        <v>5.200885168213233E-3</v>
      </c>
    </row>
    <row r="141" spans="1:2" x14ac:dyDescent="0.25">
      <c r="A141" s="1">
        <v>43469</v>
      </c>
      <c r="B141">
        <f>('cryptocurrencies price'!B141-'cryptocurrencies price'!B142)/'cryptocurrencies price'!B142</f>
        <v>-2.5186654964958526E-2</v>
      </c>
    </row>
    <row r="142" spans="1:2" x14ac:dyDescent="0.25">
      <c r="A142" s="1">
        <v>43468</v>
      </c>
      <c r="B142">
        <f>('cryptocurrencies price'!B142-'cryptocurrencies price'!B143)/'cryptocurrencies price'!B143</f>
        <v>2.1258852442832675E-2</v>
      </c>
    </row>
    <row r="143" spans="1:2" x14ac:dyDescent="0.25">
      <c r="A143" s="1">
        <v>43467</v>
      </c>
      <c r="B143">
        <f>('cryptocurrencies price'!B143-'cryptocurrencies price'!B144)/'cryptocurrencies price'!B144</f>
        <v>2.7360003843371856E-2</v>
      </c>
    </row>
    <row r="144" spans="1:2" x14ac:dyDescent="0.25">
      <c r="A144" s="1">
        <v>43466</v>
      </c>
      <c r="B144">
        <f>('cryptocurrencies price'!B144-'cryptocurrencies price'!B145)/'cryptocurrencies price'!B145</f>
        <v>-3.1066710802619218E-2</v>
      </c>
    </row>
    <row r="145" spans="1:2" x14ac:dyDescent="0.25">
      <c r="A145" s="1">
        <v>43465</v>
      </c>
      <c r="B145">
        <f>('cryptocurrencies price'!B145-'cryptocurrencies price'!B146)/'cryptocurrencies price'!B146</f>
        <v>1.1631496606826122E-2</v>
      </c>
    </row>
    <row r="146" spans="1:2" x14ac:dyDescent="0.25">
      <c r="A146" s="1">
        <v>43464</v>
      </c>
      <c r="B146">
        <f>('cryptocurrencies price'!B146-'cryptocurrencies price'!B147)/'cryptocurrencies price'!B147</f>
        <v>-2.8000071201706726E-2</v>
      </c>
    </row>
    <row r="147" spans="1:2" x14ac:dyDescent="0.25">
      <c r="A147" s="1">
        <v>43463</v>
      </c>
      <c r="B147">
        <f>('cryptocurrencies price'!B147-'cryptocurrencies price'!B148)/'cryptocurrencies price'!B148</f>
        <v>7.6471409448883462E-2</v>
      </c>
    </row>
    <row r="148" spans="1:2" x14ac:dyDescent="0.25">
      <c r="A148" s="1">
        <v>43462</v>
      </c>
      <c r="B148">
        <f>('cryptocurrencies price'!B148-'cryptocurrencies price'!B149)/'cryptocurrencies price'!B149</f>
        <v>-5.2289548575890653E-2</v>
      </c>
    </row>
    <row r="149" spans="1:2" x14ac:dyDescent="0.25">
      <c r="A149" s="1">
        <v>43461</v>
      </c>
      <c r="B149">
        <f>('cryptocurrencies price'!B149-'cryptocurrencies price'!B150)/'cryptocurrencies price'!B150</f>
        <v>9.1683312956354814E-3</v>
      </c>
    </row>
    <row r="150" spans="1:2" x14ac:dyDescent="0.25">
      <c r="A150" s="1">
        <v>43460</v>
      </c>
      <c r="B150">
        <f>('cryptocurrencies price'!B150-'cryptocurrencies price'!B151)/'cryptocurrencies price'!B151</f>
        <v>-6.4042655898143383E-2</v>
      </c>
    </row>
    <row r="151" spans="1:2" x14ac:dyDescent="0.25">
      <c r="A151" s="1">
        <v>43459</v>
      </c>
      <c r="B151">
        <f>('cryptocurrencies price'!B151-'cryptocurrencies price'!B152)/'cryptocurrencies price'!B152</f>
        <v>2.0173335699804836E-2</v>
      </c>
    </row>
    <row r="152" spans="1:2" x14ac:dyDescent="0.25">
      <c r="A152" s="1">
        <v>43458</v>
      </c>
      <c r="B152">
        <f>('cryptocurrencies price'!B152-'cryptocurrencies price'!B153)/'cryptocurrencies price'!B153</f>
        <v>-5.1380381448349428E-3</v>
      </c>
    </row>
    <row r="153" spans="1:2" x14ac:dyDescent="0.25">
      <c r="A153" s="1">
        <v>43457</v>
      </c>
      <c r="B153">
        <f>('cryptocurrencies price'!B153-'cryptocurrencies price'!B154)/'cryptocurrencies price'!B154</f>
        <v>3.1530907523703938E-2</v>
      </c>
    </row>
    <row r="154" spans="1:2" x14ac:dyDescent="0.25">
      <c r="A154" s="1">
        <v>43456</v>
      </c>
      <c r="B154">
        <f>('cryptocurrencies price'!B154-'cryptocurrencies price'!B155)/'cryptocurrencies price'!B155</f>
        <v>-5.6999782277378598E-2</v>
      </c>
    </row>
    <row r="155" spans="1:2" x14ac:dyDescent="0.25">
      <c r="A155" s="1">
        <v>43455</v>
      </c>
      <c r="B155">
        <f>('cryptocurrencies price'!B155-'cryptocurrencies price'!B156)/'cryptocurrencies price'!B156</f>
        <v>0.10461760461760462</v>
      </c>
    </row>
    <row r="156" spans="1:2" x14ac:dyDescent="0.25">
      <c r="A156" s="1">
        <v>43454</v>
      </c>
      <c r="B156">
        <f>('cryptocurrencies price'!B156-'cryptocurrencies price'!B157)/'cryptocurrencies price'!B157</f>
        <v>9.5445691994754684E-3</v>
      </c>
    </row>
    <row r="157" spans="1:2" x14ac:dyDescent="0.25">
      <c r="A157" s="1">
        <v>43453</v>
      </c>
      <c r="B157">
        <f>('cryptocurrencies price'!B157-'cryptocurrencies price'!B158)/'cryptocurrencies price'!B158</f>
        <v>4.571818684480753E-2</v>
      </c>
    </row>
    <row r="158" spans="1:2" x14ac:dyDescent="0.25">
      <c r="A158" s="1">
        <v>43452</v>
      </c>
      <c r="B158">
        <f>('cryptocurrencies price'!B158-'cryptocurrencies price'!B159)/'cryptocurrencies price'!B159</f>
        <v>8.9649321266968424E-2</v>
      </c>
    </row>
    <row r="159" spans="1:2" x14ac:dyDescent="0.25">
      <c r="A159" s="1">
        <v>43451</v>
      </c>
      <c r="B159">
        <f>('cryptocurrencies price'!B159-'cryptocurrencies price'!B160)/'cryptocurrencies price'!B160</f>
        <v>5.2066113148779023E-3</v>
      </c>
    </row>
    <row r="160" spans="1:2" x14ac:dyDescent="0.25">
      <c r="A160" s="1">
        <v>43450</v>
      </c>
      <c r="B160">
        <f>('cryptocurrencies price'!B160-'cryptocurrencies price'!B161)/'cryptocurrencies price'!B161</f>
        <v>-2.3828606658446417E-3</v>
      </c>
    </row>
    <row r="161" spans="1:2" x14ac:dyDescent="0.25">
      <c r="A161" s="1">
        <v>43449</v>
      </c>
      <c r="B161">
        <f>('cryptocurrencies price'!B161-'cryptocurrencies price'!B162)/'cryptocurrencies price'!B162</f>
        <v>-2.0457462066883068E-2</v>
      </c>
    </row>
    <row r="162" spans="1:2" x14ac:dyDescent="0.25">
      <c r="A162" s="1">
        <v>43448</v>
      </c>
      <c r="B162">
        <f>('cryptocurrencies price'!B162-'cryptocurrencies price'!B163)/'cryptocurrencies price'!B163</f>
        <v>-5.0497723545534855E-2</v>
      </c>
    </row>
    <row r="163" spans="1:2" x14ac:dyDescent="0.25">
      <c r="A163" s="1">
        <v>43447</v>
      </c>
      <c r="B163">
        <f>('cryptocurrencies price'!B163-'cryptocurrencies price'!B164)/'cryptocurrencies price'!B164</f>
        <v>1.941276531071533E-2</v>
      </c>
    </row>
    <row r="164" spans="1:2" x14ac:dyDescent="0.25">
      <c r="A164" s="1">
        <v>43446</v>
      </c>
      <c r="B164">
        <f>('cryptocurrencies price'!B164-'cryptocurrencies price'!B165)/'cryptocurrencies price'!B165</f>
        <v>-2.1755228660062083E-2</v>
      </c>
    </row>
    <row r="165" spans="1:2" x14ac:dyDescent="0.25">
      <c r="A165" s="1">
        <v>43445</v>
      </c>
      <c r="B165">
        <f>('cryptocurrencies price'!B165-'cryptocurrencies price'!B166)/'cryptocurrencies price'!B166</f>
        <v>-3.1699450450575158E-2</v>
      </c>
    </row>
    <row r="166" spans="1:2" x14ac:dyDescent="0.25">
      <c r="A166" s="1">
        <v>43444</v>
      </c>
      <c r="B166">
        <f>('cryptocurrencies price'!B166-'cryptocurrencies price'!B167)/'cryptocurrencies price'!B167</f>
        <v>3.9968559525283429E-2</v>
      </c>
    </row>
    <row r="167" spans="1:2" x14ac:dyDescent="0.25">
      <c r="A167" s="1">
        <v>43443</v>
      </c>
      <c r="B167">
        <f>('cryptocurrencies price'!B167-'cryptocurrencies price'!B168)/'cryptocurrencies price'!B168</f>
        <v>1.4997472171974179E-2</v>
      </c>
    </row>
    <row r="168" spans="1:2" x14ac:dyDescent="0.25">
      <c r="A168" s="1">
        <v>43442</v>
      </c>
      <c r="B168">
        <f>('cryptocurrencies price'!B168-'cryptocurrencies price'!B169)/'cryptocurrencies price'!B169</f>
        <v>-2.5815708636647113E-2</v>
      </c>
    </row>
    <row r="169" spans="1:2" x14ac:dyDescent="0.25">
      <c r="A169" s="1">
        <v>43441</v>
      </c>
      <c r="B169">
        <f>('cryptocurrencies price'!B169-'cryptocurrencies price'!B170)/'cryptocurrencies price'!B170</f>
        <v>-6.4324852759804693E-2</v>
      </c>
    </row>
    <row r="170" spans="1:2" x14ac:dyDescent="0.25">
      <c r="A170" s="1">
        <v>43440</v>
      </c>
      <c r="B170">
        <f>('cryptocurrencies price'!B170-'cryptocurrencies price'!B171)/'cryptocurrencies price'!B171</f>
        <v>-5.1736724182788539E-2</v>
      </c>
    </row>
    <row r="171" spans="1:2" x14ac:dyDescent="0.25">
      <c r="A171" s="1">
        <v>43439</v>
      </c>
      <c r="B171">
        <f>('cryptocurrencies price'!B171-'cryptocurrencies price'!B172)/'cryptocurrencies price'!B172</f>
        <v>1.8681055711230996E-2</v>
      </c>
    </row>
    <row r="172" spans="1:2" x14ac:dyDescent="0.25">
      <c r="A172" s="1">
        <v>43438</v>
      </c>
      <c r="B172">
        <f>('cryptocurrencies price'!B172-'cryptocurrencies price'!B173)/'cryptocurrencies price'!B173</f>
        <v>-6.2939440409710307E-2</v>
      </c>
    </row>
    <row r="173" spans="1:2" x14ac:dyDescent="0.25">
      <c r="A173" s="1">
        <v>43437</v>
      </c>
      <c r="B173">
        <f>('cryptocurrencies price'!B173-'cryptocurrencies price'!B174)/'cryptocurrencies price'!B174</f>
        <v>-1.2714456772989423E-2</v>
      </c>
    </row>
    <row r="174" spans="1:2" x14ac:dyDescent="0.25">
      <c r="A174" s="1">
        <v>43436</v>
      </c>
      <c r="B174">
        <f>('cryptocurrencies price'!B174-'cryptocurrencies price'!B175)/'cryptocurrencies price'!B175</f>
        <v>4.3799665048229956E-2</v>
      </c>
    </row>
    <row r="175" spans="1:2" x14ac:dyDescent="0.25">
      <c r="A175" s="1">
        <v>43435</v>
      </c>
      <c r="B175">
        <f>('cryptocurrencies price'!B175-'cryptocurrencies price'!B176)/'cryptocurrencies price'!B176</f>
        <v>-6.1698402225180658E-2</v>
      </c>
    </row>
    <row r="176" spans="1:2" x14ac:dyDescent="0.25">
      <c r="A176" s="1">
        <v>43434</v>
      </c>
      <c r="B176">
        <f>('cryptocurrencies price'!B176-'cryptocurrencies price'!B177)/'cryptocurrencies price'!B177</f>
        <v>4.7060201452331094E-3</v>
      </c>
    </row>
    <row r="177" spans="1:2" x14ac:dyDescent="0.25">
      <c r="A177" s="1">
        <v>43433</v>
      </c>
      <c r="B177">
        <f>('cryptocurrencies price'!B177-'cryptocurrencies price'!B178)/'cryptocurrencies price'!B178</f>
        <v>0.11681713656353097</v>
      </c>
    </row>
    <row r="178" spans="1:2" x14ac:dyDescent="0.25">
      <c r="A178" s="1">
        <v>43432</v>
      </c>
      <c r="B178">
        <f>('cryptocurrencies price'!B178-'cryptocurrencies price'!B179)/'cryptocurrencies price'!B179</f>
        <v>1.5008165270383299E-2</v>
      </c>
    </row>
    <row r="179" spans="1:2" x14ac:dyDescent="0.25">
      <c r="A179" s="1">
        <v>43431</v>
      </c>
      <c r="B179">
        <f>('cryptocurrencies price'!B179-'cryptocurrencies price'!B180)/'cryptocurrencies price'!B180</f>
        <v>-6.2046240787831927E-2</v>
      </c>
    </row>
    <row r="180" spans="1:2" x14ac:dyDescent="0.25">
      <c r="A180" s="1">
        <v>43430</v>
      </c>
      <c r="B180">
        <f>('cryptocurrencies price'!B180-'cryptocurrencies price'!B181)/'cryptocurrencies price'!B181</f>
        <v>3.46038682945181E-2</v>
      </c>
    </row>
    <row r="181" spans="1:2" x14ac:dyDescent="0.25">
      <c r="A181" s="1">
        <v>43429</v>
      </c>
      <c r="B181">
        <f>('cryptocurrencies price'!B181-'cryptocurrencies price'!B182)/'cryptocurrencies price'!B182</f>
        <v>-0.10739266139030139</v>
      </c>
    </row>
    <row r="182" spans="1:2" x14ac:dyDescent="0.25">
      <c r="A182" s="1">
        <v>43428</v>
      </c>
      <c r="B182">
        <f>('cryptocurrencies price'!B182-'cryptocurrencies price'!B183)/'cryptocurrencies price'!B183</f>
        <v>-2.9834659573004835E-3</v>
      </c>
    </row>
    <row r="183" spans="1:2" x14ac:dyDescent="0.25">
      <c r="A183" s="1">
        <v>43427</v>
      </c>
      <c r="B183">
        <f>('cryptocurrencies price'!B183-'cryptocurrencies price'!B184)/'cryptocurrencies price'!B184</f>
        <v>-5.440012837276674E-2</v>
      </c>
    </row>
    <row r="184" spans="1:2" x14ac:dyDescent="0.25">
      <c r="A184" s="1">
        <v>43426</v>
      </c>
      <c r="B184">
        <f>('cryptocurrencies price'!B184-'cryptocurrencies price'!B185)/'cryptocurrencies price'!B185</f>
        <v>3.2701532177519345E-2</v>
      </c>
    </row>
    <row r="185" spans="1:2" x14ac:dyDescent="0.25">
      <c r="A185" s="1">
        <v>43425</v>
      </c>
      <c r="B185">
        <f>('cryptocurrencies price'!B185-'cryptocurrencies price'!B186)/'cryptocurrencies price'!B186</f>
        <v>-8.1907017576322086E-2</v>
      </c>
    </row>
    <row r="186" spans="1:2" x14ac:dyDescent="0.25">
      <c r="A186" s="1">
        <v>43424</v>
      </c>
      <c r="B186">
        <f>('cryptocurrencies price'!B186-'cryptocurrencies price'!B187)/'cryptocurrencies price'!B187</f>
        <v>-0.13465213013140515</v>
      </c>
    </row>
    <row r="187" spans="1:2" x14ac:dyDescent="0.25">
      <c r="A187" s="1">
        <v>43423</v>
      </c>
      <c r="B187">
        <f>('cryptocurrencies price'!B187-'cryptocurrencies price'!B188)/'cryptocurrencies price'!B188</f>
        <v>1.0978930669419787E-2</v>
      </c>
    </row>
    <row r="188" spans="1:2" x14ac:dyDescent="0.25">
      <c r="A188" s="1">
        <v>43422</v>
      </c>
      <c r="B188">
        <f>('cryptocurrencies price'!B188-'cryptocurrencies price'!B189)/'cryptocurrencies price'!B189</f>
        <v>-3.3772035177411001E-3</v>
      </c>
    </row>
    <row r="189" spans="1:2" x14ac:dyDescent="0.25">
      <c r="A189" s="1">
        <v>43421</v>
      </c>
      <c r="B189">
        <f>('cryptocurrencies price'!B189-'cryptocurrencies price'!B190)/'cryptocurrencies price'!B190</f>
        <v>-1.1822181913514165E-2</v>
      </c>
    </row>
    <row r="190" spans="1:2" x14ac:dyDescent="0.25">
      <c r="A190" s="1">
        <v>43420</v>
      </c>
      <c r="B190">
        <f>('cryptocurrencies price'!B190-'cryptocurrencies price'!B191)/'cryptocurrencies price'!B191</f>
        <v>-1.5834662622142018E-2</v>
      </c>
    </row>
    <row r="191" spans="1:2" x14ac:dyDescent="0.25">
      <c r="A191" s="1">
        <v>43419</v>
      </c>
      <c r="B191">
        <f>('cryptocurrencies price'!B191-'cryptocurrencies price'!B192)/'cryptocurrencies price'!B192</f>
        <v>-9.6845655336595712E-2</v>
      </c>
    </row>
    <row r="192" spans="1:2" x14ac:dyDescent="0.25">
      <c r="A192" s="1">
        <v>43418</v>
      </c>
      <c r="B192">
        <f>('cryptocurrencies price'!B192-'cryptocurrencies price'!B193)/'cryptocurrencies price'!B193</f>
        <v>-3.4441151134674817E-3</v>
      </c>
    </row>
    <row r="193" spans="1:2" x14ac:dyDescent="0.25">
      <c r="A193" s="1">
        <v>43417</v>
      </c>
      <c r="B193">
        <f>('cryptocurrencies price'!B193-'cryptocurrencies price'!B194)/'cryptocurrencies price'!B194</f>
        <v>-6.0155090022085385E-3</v>
      </c>
    </row>
    <row r="194" spans="1:2" x14ac:dyDescent="0.25">
      <c r="A194" s="1">
        <v>43416</v>
      </c>
      <c r="B194">
        <f>('cryptocurrencies price'!B194-'cryptocurrencies price'!B195)/'cryptocurrencies price'!B195</f>
        <v>-2.9156655435375766E-4</v>
      </c>
    </row>
    <row r="195" spans="1:2" x14ac:dyDescent="0.25">
      <c r="A195" s="1">
        <v>43415</v>
      </c>
      <c r="B195">
        <f>('cryptocurrencies price'!B195-'cryptocurrencies price'!B196)/'cryptocurrencies price'!B196</f>
        <v>4.3062073587603134E-3</v>
      </c>
    </row>
    <row r="196" spans="1:2" x14ac:dyDescent="0.25">
      <c r="A196" s="1">
        <v>43414</v>
      </c>
      <c r="B196">
        <f>('cryptocurrencies price'!B196-'cryptocurrencies price'!B197)/'cryptocurrencies price'!B197</f>
        <v>-8.7650948374880105E-3</v>
      </c>
    </row>
    <row r="197" spans="1:2" x14ac:dyDescent="0.25">
      <c r="A197" s="1">
        <v>43413</v>
      </c>
      <c r="B197">
        <f>('cryptocurrencies price'!B197-'cryptocurrencies price'!B198)/'cryptocurrencies price'!B198</f>
        <v>-1.2215072359776591E-2</v>
      </c>
    </row>
    <row r="198" spans="1:2" x14ac:dyDescent="0.25">
      <c r="A198" s="1">
        <v>43412</v>
      </c>
      <c r="B198">
        <f>('cryptocurrencies price'!B198-'cryptocurrencies price'!B199)/'cryptocurrencies price'!B199</f>
        <v>8.3125917909871588E-3</v>
      </c>
    </row>
    <row r="199" spans="1:2" x14ac:dyDescent="0.25">
      <c r="A199" s="1">
        <v>43411</v>
      </c>
      <c r="B199">
        <f>('cryptocurrencies price'!B199-'cryptocurrencies price'!B200)/'cryptocurrencies price'!B200</f>
        <v>5.4590277583478498E-3</v>
      </c>
    </row>
    <row r="200" spans="1:2" x14ac:dyDescent="0.25">
      <c r="A200" s="1">
        <v>43410</v>
      </c>
      <c r="B200">
        <f>('cryptocurrencies price'!B200-'cryptocurrencies price'!B201)/'cryptocurrencies price'!B201</f>
        <v>1.0962313903092928E-2</v>
      </c>
    </row>
    <row r="201" spans="1:2" x14ac:dyDescent="0.25">
      <c r="A201" s="1">
        <v>43409</v>
      </c>
      <c r="B201">
        <f>('cryptocurrencies price'!B201-'cryptocurrencies price'!B202)/'cryptocurrencies price'!B202</f>
        <v>-2.906305425994253E-4</v>
      </c>
    </row>
    <row r="202" spans="1:2" x14ac:dyDescent="0.25">
      <c r="A202" s="1">
        <v>43408</v>
      </c>
      <c r="B202">
        <f>('cryptocurrencies price'!B202-'cryptocurrencies price'!B203)/'cryptocurrencies price'!B203</f>
        <v>-3.4083579135901466E-3</v>
      </c>
    </row>
    <row r="203" spans="1:2" x14ac:dyDescent="0.25">
      <c r="A203" s="1">
        <v>43407</v>
      </c>
      <c r="B203">
        <f>('cryptocurrencies price'!B203-'cryptocurrencies price'!B204)/'cryptocurrencies price'!B204</f>
        <v>1.3042960250324049E-3</v>
      </c>
    </row>
    <row r="204" spans="1:2" x14ac:dyDescent="0.25">
      <c r="A204" s="1">
        <v>43406</v>
      </c>
      <c r="B204">
        <f>('cryptocurrencies price'!B204-'cryptocurrencies price'!B205)/'cryptocurrencies price'!B205</f>
        <v>9.6199197865194097E-3</v>
      </c>
    </row>
    <row r="205" spans="1:2" x14ac:dyDescent="0.25">
      <c r="A205" s="1">
        <v>43405</v>
      </c>
      <c r="B205">
        <f>('cryptocurrencies price'!B205-'cryptocurrencies price'!B206)/'cryptocurrencies price'!B206</f>
        <v>-2.9745983503208077E-3</v>
      </c>
    </row>
    <row r="206" spans="1:2" x14ac:dyDescent="0.25">
      <c r="A206" s="1">
        <v>43404</v>
      </c>
      <c r="B206">
        <f>('cryptocurrencies price'!B206-'cryptocurrencies price'!B207)/'cryptocurrencies price'!B207</f>
        <v>-7.8901190461448722E-6</v>
      </c>
    </row>
    <row r="207" spans="1:2" x14ac:dyDescent="0.25">
      <c r="A207" s="1">
        <v>43403</v>
      </c>
      <c r="B207">
        <f>('cryptocurrencies price'!B207-'cryptocurrencies price'!B208)/'cryptocurrencies price'!B208</f>
        <v>-2.3922000508290586E-2</v>
      </c>
    </row>
    <row r="208" spans="1:2" x14ac:dyDescent="0.25">
      <c r="A208" s="1">
        <v>43402</v>
      </c>
      <c r="B208">
        <f>('cryptocurrencies price'!B208-'cryptocurrencies price'!B209)/'cryptocurrencies price'!B209</f>
        <v>1.494756781938357E-3</v>
      </c>
    </row>
    <row r="209" spans="1:2" x14ac:dyDescent="0.25">
      <c r="A209" s="1">
        <v>43401</v>
      </c>
      <c r="B209">
        <f>('cryptocurrencies price'!B209-'cryptocurrencies price'!B210)/'cryptocurrencies price'!B210</f>
        <v>2.8082779392790268E-4</v>
      </c>
    </row>
    <row r="210" spans="1:2" x14ac:dyDescent="0.25">
      <c r="A210" s="1">
        <v>43400</v>
      </c>
      <c r="B210">
        <f>('cryptocurrencies price'!B210-'cryptocurrencies price'!B211)/'cryptocurrencies price'!B211</f>
        <v>1.9170000803904103E-3</v>
      </c>
    </row>
    <row r="211" spans="1:2" x14ac:dyDescent="0.25">
      <c r="A211" s="1">
        <v>43399</v>
      </c>
      <c r="B211">
        <f>('cryptocurrencies price'!B211-'cryptocurrencies price'!B212)/'cryptocurrencies price'!B212</f>
        <v>-2.4997494082178739E-3</v>
      </c>
    </row>
    <row r="212" spans="1:2" x14ac:dyDescent="0.25">
      <c r="A212" s="1">
        <v>43398</v>
      </c>
      <c r="B212">
        <f>('cryptocurrencies price'!B212-'cryptocurrencies price'!B213)/'cryptocurrencies price'!B213</f>
        <v>8.8904117834988838E-4</v>
      </c>
    </row>
    <row r="213" spans="1:2" x14ac:dyDescent="0.25">
      <c r="A213" s="1">
        <v>43397</v>
      </c>
      <c r="B213">
        <f>('cryptocurrencies price'!B213-'cryptocurrencies price'!B214)/'cryptocurrencies price'!B214</f>
        <v>1.0089055614954446E-3</v>
      </c>
    </row>
    <row r="214" spans="1:2" x14ac:dyDescent="0.25">
      <c r="A214" s="1">
        <v>43396</v>
      </c>
      <c r="B214">
        <f>('cryptocurrencies price'!B214-'cryptocurrencies price'!B215)/'cryptocurrencies price'!B215</f>
        <v>-2.1106836980905957E-3</v>
      </c>
    </row>
    <row r="215" spans="1:2" x14ac:dyDescent="0.25">
      <c r="A215" s="1">
        <v>43395</v>
      </c>
      <c r="B215">
        <f>('cryptocurrencies price'!B215-'cryptocurrencies price'!B216)/'cryptocurrencies price'!B216</f>
        <v>-6.2248751558144236E-4</v>
      </c>
    </row>
    <row r="216" spans="1:2" x14ac:dyDescent="0.25">
      <c r="A216" s="1">
        <v>43394</v>
      </c>
      <c r="B216">
        <f>('cryptocurrencies price'!B216-'cryptocurrencies price'!B217)/'cryptocurrencies price'!B217</f>
        <v>4.5148368962934183E-3</v>
      </c>
    </row>
    <row r="217" spans="1:2" x14ac:dyDescent="0.25">
      <c r="A217" s="1">
        <v>43393</v>
      </c>
      <c r="B217">
        <f>('cryptocurrencies price'!B217-'cryptocurrencies price'!B218)/'cryptocurrencies price'!B218</f>
        <v>-2.6473934366253588E-3</v>
      </c>
    </row>
    <row r="218" spans="1:2" x14ac:dyDescent="0.25">
      <c r="A218" s="1">
        <v>43392</v>
      </c>
      <c r="B218">
        <f>('cryptocurrencies price'!B218-'cryptocurrencies price'!B219)/'cryptocurrencies price'!B219</f>
        <v>-9.8221887309261711E-3</v>
      </c>
    </row>
    <row r="219" spans="1:2" x14ac:dyDescent="0.25">
      <c r="A219" s="1">
        <v>43391</v>
      </c>
      <c r="B219">
        <f>('cryptocurrencies price'!B219-'cryptocurrencies price'!B220)/'cryptocurrencies price'!B220</f>
        <v>-7.3120178680893926E-3</v>
      </c>
    </row>
    <row r="220" spans="1:2" x14ac:dyDescent="0.25">
      <c r="A220" s="1">
        <v>43390</v>
      </c>
      <c r="B220">
        <f>('cryptocurrencies price'!B220-'cryptocurrencies price'!B221)/'cryptocurrencies price'!B221</f>
        <v>-1.6496475752906452E-3</v>
      </c>
    </row>
    <row r="221" spans="1:2" x14ac:dyDescent="0.25">
      <c r="A221" s="1">
        <v>43389</v>
      </c>
      <c r="B221">
        <f>('cryptocurrencies price'!B221-'cryptocurrencies price'!B222)/'cryptocurrencies price'!B222</f>
        <v>4.9068435505606474E-2</v>
      </c>
    </row>
    <row r="222" spans="1:2" x14ac:dyDescent="0.25">
      <c r="A222" s="1">
        <v>43388</v>
      </c>
      <c r="B222">
        <f>('cryptocurrencies price'!B222-'cryptocurrencies price'!B223)/'cryptocurrencies price'!B223</f>
        <v>6.5993585105495053E-4</v>
      </c>
    </row>
    <row r="223" spans="1:2" x14ac:dyDescent="0.25">
      <c r="A223" s="1">
        <v>43387</v>
      </c>
      <c r="B223">
        <f>('cryptocurrencies price'!B223-'cryptocurrencies price'!B224)/'cryptocurrencies price'!B224</f>
        <v>1.6581502625006141E-3</v>
      </c>
    </row>
    <row r="224" spans="1:2" x14ac:dyDescent="0.25">
      <c r="A224" s="1">
        <v>43386</v>
      </c>
      <c r="B224">
        <f>('cryptocurrencies price'!B224-'cryptocurrencies price'!B225)/'cryptocurrencies price'!B225</f>
        <v>6.2235044276154868E-3</v>
      </c>
    </row>
    <row r="225" spans="1:2" x14ac:dyDescent="0.25">
      <c r="A225" s="1">
        <v>43385</v>
      </c>
      <c r="B225">
        <f>('cryptocurrencies price'!B225-'cryptocurrencies price'!B226)/'cryptocurrencies price'!B226</f>
        <v>-5.2755991583089627E-2</v>
      </c>
    </row>
    <row r="226" spans="1:2" x14ac:dyDescent="0.25">
      <c r="A226" s="1">
        <v>43384</v>
      </c>
      <c r="B226">
        <f>('cryptocurrencies price'!B226-'cryptocurrencies price'!B227)/'cryptocurrencies price'!B227</f>
        <v>-8.064406825605535E-3</v>
      </c>
    </row>
    <row r="227" spans="1:2" x14ac:dyDescent="0.25">
      <c r="A227" s="1">
        <v>43383</v>
      </c>
      <c r="B227">
        <f>('cryptocurrencies price'!B227-'cryptocurrencies price'!B228)/'cryptocurrencies price'!B228</f>
        <v>-1.9224178876550355E-3</v>
      </c>
    </row>
    <row r="228" spans="1:2" x14ac:dyDescent="0.25">
      <c r="A228" s="1">
        <v>43382</v>
      </c>
      <c r="B228">
        <f>('cryptocurrencies price'!B228-'cryptocurrencies price'!B229)/'cryptocurrencies price'!B229</f>
        <v>8.0134056746851735E-3</v>
      </c>
    </row>
    <row r="229" spans="1:2" x14ac:dyDescent="0.25">
      <c r="A229" s="1">
        <v>43381</v>
      </c>
      <c r="B229">
        <f>('cryptocurrencies price'!B229-'cryptocurrencies price'!B230)/'cryptocurrencies price'!B230</f>
        <v>1.4429467065612818E-3</v>
      </c>
    </row>
    <row r="230" spans="1:2" x14ac:dyDescent="0.25">
      <c r="A230" s="1">
        <v>43380</v>
      </c>
      <c r="B230">
        <f>('cryptocurrencies price'!B230-'cryptocurrencies price'!B231)/'cryptocurrencies price'!B231</f>
        <v>-4.79731821304797E-3</v>
      </c>
    </row>
    <row r="231" spans="1:2" x14ac:dyDescent="0.25">
      <c r="A231" s="1">
        <v>43379</v>
      </c>
      <c r="B231">
        <f>('cryptocurrencies price'!B231-'cryptocurrencies price'!B232)/'cryptocurrencies price'!B232</f>
        <v>7.3469574013370828E-3</v>
      </c>
    </row>
    <row r="232" spans="1:2" x14ac:dyDescent="0.25">
      <c r="A232" s="1">
        <v>43378</v>
      </c>
      <c r="B232">
        <f>('cryptocurrencies price'!B232-'cryptocurrencies price'!B233)/'cryptocurrencies price'!B233</f>
        <v>1.1733003381087116E-2</v>
      </c>
    </row>
    <row r="233" spans="1:2" x14ac:dyDescent="0.25">
      <c r="A233" s="1">
        <v>43377</v>
      </c>
      <c r="B233">
        <f>('cryptocurrencies price'!B233-'cryptocurrencies price'!B234)/'cryptocurrencies price'!B234</f>
        <v>-8.5369537951680112E-3</v>
      </c>
    </row>
    <row r="234" spans="1:2" x14ac:dyDescent="0.25">
      <c r="A234" s="1">
        <v>43376</v>
      </c>
      <c r="B234">
        <f>('cryptocurrencies price'!B234-'cryptocurrencies price'!B235)/'cryptocurrencies price'!B235</f>
        <v>-5.9727842456819575E-3</v>
      </c>
    </row>
    <row r="235" spans="1:2" x14ac:dyDescent="0.25">
      <c r="A235" s="1">
        <v>43375</v>
      </c>
      <c r="B235">
        <f>('cryptocurrencies price'!B235-'cryptocurrencies price'!B236)/'cryptocurrencies price'!B236</f>
        <v>-4.0197285436982082E-3</v>
      </c>
    </row>
    <row r="236" spans="1:2" x14ac:dyDescent="0.25">
      <c r="A236" s="1">
        <v>43374</v>
      </c>
      <c r="B236">
        <f>('cryptocurrencies price'!B236-'cryptocurrencies price'!B237)/'cryptocurrencies price'!B237</f>
        <v>2.2923035227890897E-3</v>
      </c>
    </row>
    <row r="237" spans="1:2" x14ac:dyDescent="0.25">
      <c r="A237" s="1">
        <v>43373</v>
      </c>
      <c r="B237">
        <f>('cryptocurrencies price'!B237-'cryptocurrencies price'!B238)/'cryptocurrencies price'!B238</f>
        <v>-5.7789285122909978E-3</v>
      </c>
    </row>
    <row r="238" spans="1:2" x14ac:dyDescent="0.25">
      <c r="A238" s="1">
        <v>43372</v>
      </c>
      <c r="B238">
        <f>('cryptocurrencies price'!B238-'cryptocurrencies price'!B239)/'cryptocurrencies price'!B239</f>
        <v>-5.337825191839736E-3</v>
      </c>
    </row>
    <row r="239" spans="1:2" x14ac:dyDescent="0.25">
      <c r="A239" s="1">
        <v>43371</v>
      </c>
      <c r="B239">
        <f>('cryptocurrencies price'!B239-'cryptocurrencies price'!B240)/'cryptocurrencies price'!B240</f>
        <v>2.8245082205721382E-2</v>
      </c>
    </row>
    <row r="240" spans="1:2" x14ac:dyDescent="0.25">
      <c r="A240" s="1">
        <v>43370</v>
      </c>
      <c r="B240">
        <f>('cryptocurrencies price'!B240-'cryptocurrencies price'!B241)/'cryptocurrencies price'!B241</f>
        <v>6.5862983298697157E-3</v>
      </c>
    </row>
    <row r="241" spans="1:2" x14ac:dyDescent="0.25">
      <c r="A241" s="1">
        <v>43369</v>
      </c>
      <c r="B241">
        <f>('cryptocurrencies price'!B241-'cryptocurrencies price'!B242)/'cryptocurrencies price'!B242</f>
        <v>-2.284346209060463E-2</v>
      </c>
    </row>
    <row r="242" spans="1:2" x14ac:dyDescent="0.25">
      <c r="A242" s="1">
        <v>43368</v>
      </c>
      <c r="B242">
        <f>('cryptocurrencies price'!B242-'cryptocurrencies price'!B243)/'cryptocurrencies price'!B243</f>
        <v>-1.5083291447730511E-2</v>
      </c>
    </row>
    <row r="243" spans="1:2" x14ac:dyDescent="0.25">
      <c r="A243" s="1">
        <v>43367</v>
      </c>
      <c r="B243">
        <f>('cryptocurrencies price'!B243-'cryptocurrencies price'!B244)/'cryptocurrencies price'!B244</f>
        <v>-1.5710345895652439E-3</v>
      </c>
    </row>
    <row r="244" spans="1:2" x14ac:dyDescent="0.25">
      <c r="A244" s="1">
        <v>43366</v>
      </c>
      <c r="B244">
        <f>('cryptocurrencies price'!B244-'cryptocurrencies price'!B245)/'cryptocurrencies price'!B245</f>
        <v>-2.9294511547799159E-3</v>
      </c>
    </row>
    <row r="245" spans="1:2" x14ac:dyDescent="0.25">
      <c r="A245" s="1">
        <v>43365</v>
      </c>
      <c r="B245">
        <f>('cryptocurrencies price'!B245-'cryptocurrencies price'!B246)/'cryptocurrencies price'!B246</f>
        <v>3.3955237055698119E-2</v>
      </c>
    </row>
    <row r="246" spans="1:2" x14ac:dyDescent="0.25">
      <c r="A246" s="1">
        <v>43364</v>
      </c>
      <c r="B246">
        <f>('cryptocurrencies price'!B246-'cryptocurrencies price'!B247)/'cryptocurrencies price'!B247</f>
        <v>1.7975104901661942E-2</v>
      </c>
    </row>
    <row r="247" spans="1:2" x14ac:dyDescent="0.25">
      <c r="A247" s="1">
        <v>43363</v>
      </c>
      <c r="B247">
        <f>('cryptocurrencies price'!B247-'cryptocurrencies price'!B248)/'cryptocurrencies price'!B248</f>
        <v>4.2373878857788552E-3</v>
      </c>
    </row>
    <row r="248" spans="1:2" x14ac:dyDescent="0.25">
      <c r="A248" s="1">
        <v>43362</v>
      </c>
      <c r="B248">
        <f>('cryptocurrencies price'!B248-'cryptocurrencies price'!B249)/'cryptocurrencies price'!B249</f>
        <v>1.4478793677986233E-2</v>
      </c>
    </row>
    <row r="249" spans="1:2" x14ac:dyDescent="0.25">
      <c r="A249" s="1">
        <v>43361</v>
      </c>
      <c r="B249">
        <f>('cryptocurrencies price'!B249-'cryptocurrencies price'!B250)/'cryptocurrencies price'!B250</f>
        <v>-3.5791810330270298E-2</v>
      </c>
    </row>
    <row r="250" spans="1:2" x14ac:dyDescent="0.25">
      <c r="A250" s="1">
        <v>43360</v>
      </c>
      <c r="B250">
        <f>('cryptocurrencies price'!B250-'cryptocurrencies price'!B251)/'cryptocurrencies price'!B251</f>
        <v>-3.4604722886847589E-3</v>
      </c>
    </row>
    <row r="251" spans="1:2" x14ac:dyDescent="0.25">
      <c r="A251" s="1">
        <v>43359</v>
      </c>
      <c r="B251">
        <f>('cryptocurrencies price'!B251-'cryptocurrencies price'!B252)/'cryptocurrencies price'!B252</f>
        <v>4.1908624450795245E-3</v>
      </c>
    </row>
    <row r="252" spans="1:2" x14ac:dyDescent="0.25">
      <c r="A252" s="1">
        <v>43358</v>
      </c>
      <c r="B252">
        <f>('cryptocurrencies price'!B252-'cryptocurrencies price'!B253)/'cryptocurrencies price'!B253</f>
        <v>-9.2242851946388921E-4</v>
      </c>
    </row>
    <row r="253" spans="1:2" x14ac:dyDescent="0.25">
      <c r="A253" s="1">
        <v>43357</v>
      </c>
      <c r="B253">
        <f>('cryptocurrencies price'!B253-'cryptocurrencies price'!B254)/'cryptocurrencies price'!B254</f>
        <v>2.5364166288966119E-2</v>
      </c>
    </row>
    <row r="254" spans="1:2" x14ac:dyDescent="0.25">
      <c r="A254" s="1">
        <v>43356</v>
      </c>
      <c r="B254">
        <f>('cryptocurrencies price'!B254-'cryptocurrencies price'!B255)/'cryptocurrencies price'!B255</f>
        <v>5.8936110596626507E-3</v>
      </c>
    </row>
    <row r="255" spans="1:2" x14ac:dyDescent="0.25">
      <c r="A255" s="1">
        <v>43355</v>
      </c>
      <c r="B255">
        <f>('cryptocurrencies price'!B255-'cryptocurrencies price'!B256)/'cryptocurrencies price'!B256</f>
        <v>-2.3484336405617118E-3</v>
      </c>
    </row>
    <row r="256" spans="1:2" x14ac:dyDescent="0.25">
      <c r="A256" s="1">
        <v>43354</v>
      </c>
      <c r="B256">
        <f>('cryptocurrencies price'!B256-'cryptocurrencies price'!B257)/'cryptocurrencies price'!B257</f>
        <v>4.8099124503894111E-3</v>
      </c>
    </row>
    <row r="257" spans="1:2" x14ac:dyDescent="0.25">
      <c r="A257" s="1">
        <v>43353</v>
      </c>
      <c r="B257">
        <f>('cryptocurrencies price'!B257-'cryptocurrencies price'!B258)/'cryptocurrencies price'!B258</f>
        <v>1.2563912214905663E-2</v>
      </c>
    </row>
    <row r="258" spans="1:2" x14ac:dyDescent="0.25">
      <c r="A258" s="1">
        <v>43352</v>
      </c>
      <c r="B258">
        <f>('cryptocurrencies price'!B258-'cryptocurrencies price'!B259)/'cryptocurrencies price'!B259</f>
        <v>-3.665383418702603E-2</v>
      </c>
    </row>
    <row r="259" spans="1:2" x14ac:dyDescent="0.25">
      <c r="A259" s="1">
        <v>43351</v>
      </c>
      <c r="B259">
        <f>('cryptocurrencies price'!B259-'cryptocurrencies price'!B260)/'cryptocurrencies price'!B260</f>
        <v>-1.0530072354998988E-2</v>
      </c>
    </row>
    <row r="260" spans="1:2" x14ac:dyDescent="0.25">
      <c r="A260" s="1">
        <v>43350</v>
      </c>
      <c r="B260">
        <f>('cryptocurrencies price'!B260-'cryptocurrencies price'!B261)/'cryptocurrencies price'!B261</f>
        <v>-3.3488573145782359E-2</v>
      </c>
    </row>
    <row r="261" spans="1:2" x14ac:dyDescent="0.25">
      <c r="A261" s="1">
        <v>43349</v>
      </c>
      <c r="B261">
        <f>('cryptocurrencies price'!B261-'cryptocurrencies price'!B262)/'cryptocurrencies price'!B262</f>
        <v>-8.2364096252645499E-2</v>
      </c>
    </row>
    <row r="262" spans="1:2" x14ac:dyDescent="0.25">
      <c r="A262" s="1">
        <v>43348</v>
      </c>
      <c r="B262">
        <f>('cryptocurrencies price'!B262-'cryptocurrencies price'!B263)/'cryptocurrencies price'!B263</f>
        <v>1.3556381660470886E-2</v>
      </c>
    </row>
    <row r="263" spans="1:2" x14ac:dyDescent="0.25">
      <c r="A263" s="1">
        <v>43347</v>
      </c>
      <c r="B263">
        <f>('cryptocurrencies price'!B263-'cryptocurrencies price'!B264)/'cryptocurrencies price'!B264</f>
        <v>-2.2022165041220803E-3</v>
      </c>
    </row>
    <row r="264" spans="1:2" x14ac:dyDescent="0.25">
      <c r="A264" s="1">
        <v>43346</v>
      </c>
      <c r="B264">
        <f>('cryptocurrencies price'!B264-'cryptocurrencies price'!B265)/'cryptocurrencies price'!B265</f>
        <v>1.244161689556272E-2</v>
      </c>
    </row>
    <row r="265" spans="1:2" x14ac:dyDescent="0.25">
      <c r="A265" s="1">
        <v>43345</v>
      </c>
      <c r="B265">
        <f>('cryptocurrencies price'!B265-'cryptocurrencies price'!B266)/'cryptocurrencies price'!B266</f>
        <v>2.0549879982568658E-2</v>
      </c>
    </row>
    <row r="266" spans="1:2" x14ac:dyDescent="0.25">
      <c r="A266" s="1">
        <v>43344</v>
      </c>
      <c r="B266">
        <f>('cryptocurrencies price'!B266-'cryptocurrencies price'!B267)/'cryptocurrencies price'!B267</f>
        <v>1.0157772402232895E-2</v>
      </c>
    </row>
    <row r="267" spans="1:2" x14ac:dyDescent="0.25">
      <c r="A267" s="1">
        <v>43343</v>
      </c>
      <c r="B267">
        <f>('cryptocurrencies price'!B267-'cryptocurrencies price'!B268)/'cryptocurrencies price'!B268</f>
        <v>-9.9080604677047428E-3</v>
      </c>
    </row>
    <row r="268" spans="1:2" x14ac:dyDescent="0.25">
      <c r="A268" s="1">
        <v>43342</v>
      </c>
      <c r="B268">
        <f>('cryptocurrencies price'!B268-'cryptocurrencies price'!B269)/'cryptocurrencies price'!B269</f>
        <v>-6.7614157939340181E-3</v>
      </c>
    </row>
    <row r="269" spans="1:2" x14ac:dyDescent="0.25">
      <c r="A269" s="1">
        <v>43341</v>
      </c>
      <c r="B269">
        <f>('cryptocurrencies price'!B269-'cryptocurrencies price'!B270)/'cryptocurrencies price'!B270</f>
        <v>2.9114449404157274E-2</v>
      </c>
    </row>
    <row r="270" spans="1:2" x14ac:dyDescent="0.25">
      <c r="A270" s="1">
        <v>43340</v>
      </c>
      <c r="B270">
        <f>('cryptocurrencies price'!B270-'cryptocurrencies price'!B271)/'cryptocurrencies price'!B271</f>
        <v>2.6864159265661283E-2</v>
      </c>
    </row>
    <row r="271" spans="1:2" x14ac:dyDescent="0.25">
      <c r="A271" s="1">
        <v>43339</v>
      </c>
      <c r="B271">
        <f>('cryptocurrencies price'!B271-'cryptocurrencies price'!B272)/'cryptocurrencies price'!B272</f>
        <v>-6.4903532978811814E-3</v>
      </c>
    </row>
    <row r="272" spans="1:2" x14ac:dyDescent="0.25">
      <c r="A272" s="1">
        <v>43338</v>
      </c>
      <c r="B272">
        <f>('cryptocurrencies price'!B272-'cryptocurrencies price'!B273)/'cryptocurrencies price'!B273</f>
        <v>5.1622407904821479E-3</v>
      </c>
    </row>
    <row r="273" spans="1:2" x14ac:dyDescent="0.25">
      <c r="A273" s="1">
        <v>43337</v>
      </c>
      <c r="B273">
        <f>('cryptocurrencies price'!B273-'cryptocurrencies price'!B274)/'cryptocurrencies price'!B274</f>
        <v>2.5708537866021834E-2</v>
      </c>
    </row>
    <row r="274" spans="1:2" x14ac:dyDescent="0.25">
      <c r="A274" s="1">
        <v>43336</v>
      </c>
      <c r="B274">
        <f>('cryptocurrencies price'!B274-'cryptocurrencies price'!B275)/'cryptocurrencies price'!B275</f>
        <v>2.8279765324091995E-2</v>
      </c>
    </row>
    <row r="275" spans="1:2" x14ac:dyDescent="0.25">
      <c r="A275" s="1">
        <v>43335</v>
      </c>
      <c r="B275">
        <f>('cryptocurrencies price'!B275-'cryptocurrencies price'!B276)/'cryptocurrencies price'!B276</f>
        <v>-1.7715937560223528E-2</v>
      </c>
    </row>
    <row r="276" spans="1:2" x14ac:dyDescent="0.25">
      <c r="A276" s="1">
        <v>43334</v>
      </c>
      <c r="B276">
        <f>('cryptocurrencies price'!B276-'cryptocurrencies price'!B277)/'cryptocurrencies price'!B277</f>
        <v>2.9388659386421719E-2</v>
      </c>
    </row>
    <row r="277" spans="1:2" x14ac:dyDescent="0.25">
      <c r="A277" s="1">
        <v>43333</v>
      </c>
      <c r="B277">
        <f>('cryptocurrencies price'!B277-'cryptocurrencies price'!B278)/'cryptocurrencies price'!B278</f>
        <v>-3.0680669670533619E-2</v>
      </c>
    </row>
    <row r="278" spans="1:2" x14ac:dyDescent="0.25">
      <c r="A278" s="1">
        <v>43332</v>
      </c>
      <c r="B278">
        <f>('cryptocurrencies price'!B278-'cryptocurrencies price'!B279)/'cryptocurrencies price'!B279</f>
        <v>1.2135329003810081E-2</v>
      </c>
    </row>
    <row r="279" spans="1:2" x14ac:dyDescent="0.25">
      <c r="A279" s="1">
        <v>43331</v>
      </c>
      <c r="B279">
        <f>('cryptocurrencies price'!B279-'cryptocurrencies price'!B280)/'cryptocurrencies price'!B280</f>
        <v>-2.4434071600974046E-2</v>
      </c>
    </row>
    <row r="280" spans="1:2" x14ac:dyDescent="0.25">
      <c r="A280" s="1">
        <v>43330</v>
      </c>
      <c r="B280">
        <f>('cryptocurrencies price'!B280-'cryptocurrencies price'!B281)/'cryptocurrencies price'!B281</f>
        <v>3.8246876237007059E-2</v>
      </c>
    </row>
    <row r="281" spans="1:2" x14ac:dyDescent="0.25">
      <c r="A281" s="1">
        <v>43329</v>
      </c>
      <c r="B281">
        <f>('cryptocurrencies price'!B281-'cryptocurrencies price'!B282)/'cryptocurrencies price'!B282</f>
        <v>7.4163162134209103E-3</v>
      </c>
    </row>
    <row r="282" spans="1:2" x14ac:dyDescent="0.25">
      <c r="A282" s="1">
        <v>43328</v>
      </c>
      <c r="B282">
        <f>('cryptocurrencies price'!B282-'cryptocurrencies price'!B283)/'cryptocurrencies price'!B283</f>
        <v>1.1703116008885349E-2</v>
      </c>
    </row>
    <row r="283" spans="1:2" x14ac:dyDescent="0.25">
      <c r="A283" s="1">
        <v>43327</v>
      </c>
      <c r="B283">
        <f>('cryptocurrencies price'!B283-'cryptocurrencies price'!B284)/'cryptocurrencies price'!B284</f>
        <v>-1.0534920781339923E-2</v>
      </c>
    </row>
    <row r="284" spans="1:2" x14ac:dyDescent="0.25">
      <c r="A284" s="1">
        <v>43326</v>
      </c>
      <c r="B284">
        <f>('cryptocurrencies price'!B284-'cryptocurrencies price'!B285)/'cryptocurrencies price'!B285</f>
        <v>-8.4682150201218376E-3</v>
      </c>
    </row>
    <row r="285" spans="1:2" x14ac:dyDescent="0.25">
      <c r="A285" s="1">
        <v>43325</v>
      </c>
      <c r="B285">
        <f>('cryptocurrencies price'!B285-'cryptocurrencies price'!B286)/'cryptocurrencies price'!B286</f>
        <v>9.1841525228171586E-3</v>
      </c>
    </row>
    <row r="286" spans="1:2" x14ac:dyDescent="0.25">
      <c r="A286" s="1">
        <v>43324</v>
      </c>
      <c r="B286">
        <f>('cryptocurrencies price'!B286-'cryptocurrencies price'!B287)/'cryptocurrencies price'!B287</f>
        <v>1.5820129684324828E-2</v>
      </c>
    </row>
    <row r="287" spans="1:2" x14ac:dyDescent="0.25">
      <c r="A287" s="1">
        <v>43323</v>
      </c>
      <c r="B287">
        <f>('cryptocurrencies price'!B287-'cryptocurrencies price'!B288)/'cryptocurrencies price'!B288</f>
        <v>-5.868290262987301E-2</v>
      </c>
    </row>
    <row r="288" spans="1:2" x14ac:dyDescent="0.25">
      <c r="A288" s="1">
        <v>43322</v>
      </c>
      <c r="B288">
        <f>('cryptocurrencies price'!B288-'cryptocurrencies price'!B289)/'cryptocurrencies price'!B289</f>
        <v>4.2162789664994017E-2</v>
      </c>
    </row>
    <row r="289" spans="1:2" x14ac:dyDescent="0.25">
      <c r="A289" s="1">
        <v>43321</v>
      </c>
      <c r="B289">
        <f>('cryptocurrencies price'!B289-'cryptocurrencies price'!B290)/'cryptocurrencies price'!B290</f>
        <v>-6.5406819478719694E-2</v>
      </c>
    </row>
    <row r="290" spans="1:2" x14ac:dyDescent="0.25">
      <c r="A290" s="1">
        <v>43320</v>
      </c>
      <c r="B290">
        <f>('cryptocurrencies price'!B290-'cryptocurrencies price'!B291)/'cryptocurrencies price'!B291</f>
        <v>-3.0390956437760745E-2</v>
      </c>
    </row>
    <row r="291" spans="1:2" x14ac:dyDescent="0.25">
      <c r="A291" s="1">
        <v>43319</v>
      </c>
      <c r="B291">
        <f>('cryptocurrencies price'!B291-'cryptocurrencies price'!B292)/'cryptocurrencies price'!B292</f>
        <v>-1.4812528493800018E-2</v>
      </c>
    </row>
    <row r="292" spans="1:2" x14ac:dyDescent="0.25">
      <c r="A292" s="1">
        <v>43318</v>
      </c>
      <c r="B292">
        <f>('cryptocurrencies price'!B292-'cryptocurrencies price'!B293)/'cryptocurrencies price'!B293</f>
        <v>4.5313095569954652E-3</v>
      </c>
    </row>
    <row r="293" spans="1:2" x14ac:dyDescent="0.25">
      <c r="A293" s="1">
        <v>43317</v>
      </c>
      <c r="B293">
        <f>('cryptocurrencies price'!B293-'cryptocurrencies price'!B294)/'cryptocurrencies price'!B294</f>
        <v>-5.4793397206758757E-2</v>
      </c>
    </row>
    <row r="294" spans="1:2" x14ac:dyDescent="0.25">
      <c r="A294" s="1">
        <v>43316</v>
      </c>
      <c r="B294">
        <f>('cryptocurrencies price'!B294-'cryptocurrencies price'!B295)/'cryptocurrencies price'!B295</f>
        <v>-1.6327388807930065E-2</v>
      </c>
    </row>
    <row r="295" spans="1:2" x14ac:dyDescent="0.25">
      <c r="A295" s="1">
        <v>43315</v>
      </c>
      <c r="B295">
        <f>('cryptocurrencies price'!B295-'cryptocurrencies price'!B296)/'cryptocurrencies price'!B296</f>
        <v>-9.4378054515278347E-3</v>
      </c>
    </row>
    <row r="296" spans="1:2" x14ac:dyDescent="0.25">
      <c r="A296" s="1">
        <v>43314</v>
      </c>
      <c r="B296">
        <f>('cryptocurrencies price'!B296-'cryptocurrencies price'!B297)/'cryptocurrencies price'!B297</f>
        <v>-1.7357356893515849E-2</v>
      </c>
    </row>
    <row r="297" spans="1:2" x14ac:dyDescent="0.25">
      <c r="A297" s="1">
        <v>43313</v>
      </c>
      <c r="B297">
        <f>('cryptocurrencies price'!B297-'cryptocurrencies price'!B298)/'cryptocurrencies price'!B298</f>
        <v>-5.0378917518212468E-2</v>
      </c>
    </row>
    <row r="298" spans="1:2" x14ac:dyDescent="0.25">
      <c r="A298" s="1">
        <v>43312</v>
      </c>
      <c r="B298">
        <f>('cryptocurrencies price'!B298-'cryptocurrencies price'!B299)/'cryptocurrencies price'!B299</f>
        <v>-4.9114647062973435E-3</v>
      </c>
    </row>
    <row r="299" spans="1:2" x14ac:dyDescent="0.25">
      <c r="A299" s="1">
        <v>43311</v>
      </c>
      <c r="B299">
        <f>('cryptocurrencies price'!B299-'cryptocurrencies price'!B300)/'cryptocurrencies price'!B300</f>
        <v>1.9205880704183395E-3</v>
      </c>
    </row>
    <row r="300" spans="1:2" x14ac:dyDescent="0.25">
      <c r="A300" s="1">
        <v>43310</v>
      </c>
      <c r="B300">
        <f>('cryptocurrencies price'!B300-'cryptocurrencies price'!B301)/'cryptocurrencies price'!B301</f>
        <v>4.4999057419090206E-3</v>
      </c>
    </row>
    <row r="301" spans="1:2" x14ac:dyDescent="0.25">
      <c r="A301" s="1">
        <v>43309</v>
      </c>
      <c r="B301">
        <f>('cryptocurrencies price'!B301-'cryptocurrencies price'!B302)/'cryptocurrencies price'!B302</f>
        <v>2.7503018716039541E-2</v>
      </c>
    </row>
    <row r="302" spans="1:2" x14ac:dyDescent="0.25">
      <c r="A302" s="1">
        <v>43308</v>
      </c>
      <c r="B302">
        <f>('cryptocurrencies price'!B302-'cryptocurrencies price'!B303)/'cryptocurrencies price'!B303</f>
        <v>-2.7694038657918481E-2</v>
      </c>
    </row>
    <row r="303" spans="1:2" x14ac:dyDescent="0.25">
      <c r="A303" s="1">
        <v>43307</v>
      </c>
      <c r="B303">
        <f>('cryptocurrencies price'!B303-'cryptocurrencies price'!B304)/'cryptocurrencies price'!B304</f>
        <v>-2.4202652613590468E-2</v>
      </c>
    </row>
    <row r="304" spans="1:2" x14ac:dyDescent="0.25">
      <c r="A304" s="1">
        <v>43306</v>
      </c>
      <c r="B304">
        <f>('cryptocurrencies price'!B304-'cryptocurrencies price'!B305)/'cryptocurrencies price'!B305</f>
        <v>8.5939109778902595E-2</v>
      </c>
    </row>
    <row r="305" spans="1:2" x14ac:dyDescent="0.25">
      <c r="A305" s="1">
        <v>43305</v>
      </c>
      <c r="B305">
        <f>('cryptocurrencies price'!B305-'cryptocurrencies price'!B306)/'cryptocurrencies price'!B306</f>
        <v>4.0702873072581421E-2</v>
      </c>
    </row>
    <row r="306" spans="1:2" x14ac:dyDescent="0.25">
      <c r="A306" s="1">
        <v>43304</v>
      </c>
      <c r="B306">
        <f>('cryptocurrencies price'!B306-'cryptocurrencies price'!B307)/'cryptocurrencies price'!B307</f>
        <v>-4.165655585214141E-4</v>
      </c>
    </row>
    <row r="307" spans="1:2" x14ac:dyDescent="0.25">
      <c r="A307" s="1">
        <v>43303</v>
      </c>
      <c r="B307">
        <f>('cryptocurrencies price'!B307-'cryptocurrencies price'!B308)/'cryptocurrencies price'!B308</f>
        <v>8.851146242478963E-3</v>
      </c>
    </row>
    <row r="308" spans="1:2" x14ac:dyDescent="0.25">
      <c r="A308" s="1">
        <v>43302</v>
      </c>
      <c r="B308">
        <f>('cryptocurrencies price'!B308-'cryptocurrencies price'!B309)/'cryptocurrencies price'!B309</f>
        <v>-1.5357420253367891E-2</v>
      </c>
    </row>
    <row r="309" spans="1:2" x14ac:dyDescent="0.25">
      <c r="A309" s="1">
        <v>43301</v>
      </c>
      <c r="B309">
        <f>('cryptocurrencies price'!B309-'cryptocurrencies price'!B310)/'cryptocurrencies price'!B310</f>
        <v>1.2089669567103063E-2</v>
      </c>
    </row>
    <row r="310" spans="1:2" x14ac:dyDescent="0.25">
      <c r="A310" s="1">
        <v>43300</v>
      </c>
      <c r="B310">
        <f>('cryptocurrencies price'!B310-'cryptocurrencies price'!B311)/'cryptocurrencies price'!B311</f>
        <v>8.5956595200210126E-3</v>
      </c>
    </row>
    <row r="311" spans="1:2" x14ac:dyDescent="0.25">
      <c r="A311" s="1">
        <v>43299</v>
      </c>
      <c r="B311">
        <f>('cryptocurrencies price'!B311-'cryptocurrencies price'!B312)/'cryptocurrencies price'!B312</f>
        <v>8.541541474705662E-2</v>
      </c>
    </row>
    <row r="312" spans="1:2" x14ac:dyDescent="0.25">
      <c r="A312" s="1">
        <v>43298</v>
      </c>
      <c r="B312">
        <f>('cryptocurrencies price'!B312-'cryptocurrencies price'!B313)/'cryptocurrencies price'!B313</f>
        <v>6.0191819739154002E-2</v>
      </c>
    </row>
    <row r="313" spans="1:2" x14ac:dyDescent="0.25">
      <c r="A313" s="1">
        <v>43297</v>
      </c>
      <c r="B313">
        <f>('cryptocurrencies price'!B313-'cryptocurrencies price'!B314)/'cryptocurrencies price'!B314</f>
        <v>1.3440783075868511E-2</v>
      </c>
    </row>
    <row r="314" spans="1:2" x14ac:dyDescent="0.25">
      <c r="A314" s="1">
        <v>43296</v>
      </c>
      <c r="B314">
        <f>('cryptocurrencies price'!B314-'cryptocurrencies price'!B315)/'cryptocurrencies price'!B315</f>
        <v>4.0336134453781225E-3</v>
      </c>
    </row>
    <row r="315" spans="1:2" x14ac:dyDescent="0.25">
      <c r="A315" s="1">
        <v>43295</v>
      </c>
      <c r="B315">
        <f>('cryptocurrencies price'!B315-'cryptocurrencies price'!B316)/'cryptocurrencies price'!B316</f>
        <v>1.9999903769509137E-3</v>
      </c>
    </row>
    <row r="316" spans="1:2" x14ac:dyDescent="0.25">
      <c r="A316" s="1">
        <v>43294</v>
      </c>
      <c r="B316">
        <f>('cryptocurrencies price'!B316-'cryptocurrencies price'!B317)/'cryptocurrencies price'!B317</f>
        <v>-2.5286159599048272E-2</v>
      </c>
    </row>
    <row r="317" spans="1:2" x14ac:dyDescent="0.25">
      <c r="A317" s="1">
        <v>43293</v>
      </c>
      <c r="B317">
        <f>('cryptocurrencies price'!B317-'cryptocurrencies price'!B318)/'cryptocurrencies price'!B318</f>
        <v>1.0426851709981456E-2</v>
      </c>
    </row>
    <row r="318" spans="1:2" x14ac:dyDescent="0.25">
      <c r="A318" s="1">
        <v>43292</v>
      </c>
      <c r="B318">
        <f>('cryptocurrencies price'!B318-'cryptocurrencies price'!B319)/'cryptocurrencies price'!B319</f>
        <v>-6.0606510258620759E-2</v>
      </c>
    </row>
    <row r="319" spans="1:2" x14ac:dyDescent="0.25">
      <c r="A319" s="1">
        <v>43291</v>
      </c>
      <c r="B319">
        <f>('cryptocurrencies price'!B319-'cryptocurrencies price'!B320)/'cryptocurrencies price'!B320</f>
        <v>-5.2944024277203948E-3</v>
      </c>
    </row>
    <row r="320" spans="1:2" x14ac:dyDescent="0.25">
      <c r="A320" s="1">
        <v>43290</v>
      </c>
      <c r="B320">
        <f>('cryptocurrencies price'!B320-'cryptocurrencies price'!B321)/'cryptocurrencies price'!B321</f>
        <v>-1.2062177374668298E-2</v>
      </c>
    </row>
    <row r="321" spans="1:2" x14ac:dyDescent="0.25">
      <c r="A321" s="1">
        <v>43289</v>
      </c>
      <c r="B321">
        <f>('cryptocurrencies price'!B321-'cryptocurrencies price'!B322)/'cryptocurrencies price'!B322</f>
        <v>2.8354809250964601E-2</v>
      </c>
    </row>
    <row r="322" spans="1:2" x14ac:dyDescent="0.25">
      <c r="A322" s="1">
        <v>43288</v>
      </c>
      <c r="B322">
        <f>('cryptocurrencies price'!B322-'cryptocurrencies price'!B323)/'cryptocurrencies price'!B323</f>
        <v>4.5219764742743581E-3</v>
      </c>
    </row>
    <row r="323" spans="1:2" x14ac:dyDescent="0.25">
      <c r="A323" s="1">
        <v>43287</v>
      </c>
      <c r="B323">
        <f>('cryptocurrencies price'!B323-'cryptocurrencies price'!B324)/'cryptocurrencies price'!B324</f>
        <v>5.9063201261872963E-3</v>
      </c>
    </row>
    <row r="324" spans="1:2" x14ac:dyDescent="0.25">
      <c r="A324" s="1">
        <v>43286</v>
      </c>
      <c r="B324">
        <f>('cryptocurrencies price'!B324-'cryptocurrencies price'!B325)/'cryptocurrencies price'!B325</f>
        <v>7.4554982773280716E-3</v>
      </c>
    </row>
    <row r="325" spans="1:2" x14ac:dyDescent="0.25">
      <c r="A325" s="1">
        <v>43285</v>
      </c>
      <c r="B325">
        <f>('cryptocurrencies price'!B325-'cryptocurrencies price'!B326)/'cryptocurrencies price'!B326</f>
        <v>-6.9413915526948429E-3</v>
      </c>
    </row>
    <row r="326" spans="1:2" x14ac:dyDescent="0.25">
      <c r="A326" s="1">
        <v>43284</v>
      </c>
      <c r="B326">
        <f>('cryptocurrencies price'!B326-'cryptocurrencies price'!B327)/'cryptocurrencies price'!B327</f>
        <v>3.3897667537043208E-2</v>
      </c>
    </row>
    <row r="327" spans="1:2" x14ac:dyDescent="0.25">
      <c r="A327" s="1">
        <v>43283</v>
      </c>
      <c r="B327">
        <f>('cryptocurrencies price'!B327-'cryptocurrencies price'!B328)/'cryptocurrencies price'!B328</f>
        <v>-4.8817158685399431E-3</v>
      </c>
    </row>
    <row r="328" spans="1:2" x14ac:dyDescent="0.25">
      <c r="A328" s="1">
        <v>43282</v>
      </c>
      <c r="B328">
        <f>('cryptocurrencies price'!B328-'cryptocurrencies price'!B329)/'cryptocurrencies price'!B329</f>
        <v>3.1775508430663867E-2</v>
      </c>
    </row>
    <row r="329" spans="1:2" x14ac:dyDescent="0.25">
      <c r="A329" s="1">
        <v>43281</v>
      </c>
      <c r="B329">
        <f>('cryptocurrencies price'!B329-'cryptocurrencies price'!B330)/'cryptocurrencies price'!B330</f>
        <v>5.3591562071368407E-2</v>
      </c>
    </row>
    <row r="330" spans="1:2" x14ac:dyDescent="0.25">
      <c r="A330" s="1">
        <v>43280</v>
      </c>
      <c r="B330">
        <f>('cryptocurrencies price'!B330-'cryptocurrencies price'!B331)/'cryptocurrencies price'!B331</f>
        <v>-4.1446996340091878E-2</v>
      </c>
    </row>
    <row r="331" spans="1:2" x14ac:dyDescent="0.25">
      <c r="A331" s="1">
        <v>43279</v>
      </c>
      <c r="B331">
        <f>('cryptocurrencies price'!B331-'cryptocurrencies price'!B332)/'cryptocurrencies price'!B332</f>
        <v>1.1301032147787821E-2</v>
      </c>
    </row>
    <row r="332" spans="1:2" x14ac:dyDescent="0.25">
      <c r="A332" s="1">
        <v>43278</v>
      </c>
      <c r="B332">
        <f>('cryptocurrencies price'!B332-'cryptocurrencies price'!B333)/'cryptocurrencies price'!B333</f>
        <v>-2.7048636374539348E-2</v>
      </c>
    </row>
    <row r="333" spans="1:2" x14ac:dyDescent="0.25">
      <c r="A333" s="1">
        <v>43277</v>
      </c>
      <c r="B333">
        <f>('cryptocurrencies price'!B333-'cryptocurrencies price'!B334)/'cryptocurrencies price'!B334</f>
        <v>1.3217821862387524E-2</v>
      </c>
    </row>
    <row r="334" spans="1:2" x14ac:dyDescent="0.25">
      <c r="A334" s="1">
        <v>43276</v>
      </c>
      <c r="B334">
        <f>('cryptocurrencies price'!B334-'cryptocurrencies price'!B335)/'cryptocurrencies price'!B335</f>
        <v>1.247509847054402E-3</v>
      </c>
    </row>
    <row r="335" spans="1:2" x14ac:dyDescent="0.25">
      <c r="A335" s="1">
        <v>43275</v>
      </c>
      <c r="B335">
        <f>('cryptocurrencies price'!B335-'cryptocurrencies price'!B336)/'cryptocurrencies price'!B336</f>
        <v>1.2180423966765632E-2</v>
      </c>
    </row>
    <row r="336" spans="1:2" x14ac:dyDescent="0.25">
      <c r="A336" s="1">
        <v>43274</v>
      </c>
      <c r="B336">
        <f>('cryptocurrencies price'!B336-'cryptocurrencies price'!B337)/'cryptocurrencies price'!B337</f>
        <v>-9.61400321762928E-2</v>
      </c>
    </row>
    <row r="337" spans="1:2" x14ac:dyDescent="0.25">
      <c r="A337" s="1">
        <v>43273</v>
      </c>
      <c r="B337">
        <f>('cryptocurrencies price'!B337-'cryptocurrencies price'!B338)/'cryptocurrencies price'!B338</f>
        <v>-6.2255810763573987E-3</v>
      </c>
    </row>
    <row r="338" spans="1:2" x14ac:dyDescent="0.25">
      <c r="A338" s="1">
        <v>43272</v>
      </c>
      <c r="B338">
        <f>('cryptocurrencies price'!B338-'cryptocurrencies price'!B339)/'cryptocurrencies price'!B339</f>
        <v>1.3779841553976106E-3</v>
      </c>
    </row>
    <row r="339" spans="1:2" x14ac:dyDescent="0.25">
      <c r="A339" s="1">
        <v>43271</v>
      </c>
      <c r="B339">
        <f>('cryptocurrencies price'!B339-'cryptocurrencies price'!B340)/'cryptocurrencies price'!B340</f>
        <v>4.2077067627354532E-3</v>
      </c>
    </row>
    <row r="340" spans="1:2" x14ac:dyDescent="0.25">
      <c r="A340" s="1">
        <v>43270</v>
      </c>
      <c r="B340">
        <f>('cryptocurrencies price'!B340-'cryptocurrencies price'!B341)/'cryptocurrencies price'!B341</f>
        <v>3.5686252221558391E-2</v>
      </c>
    </row>
    <row r="341" spans="1:2" x14ac:dyDescent="0.25">
      <c r="A341" s="1">
        <v>43269</v>
      </c>
      <c r="B341">
        <f>('cryptocurrencies price'!B341-'cryptocurrencies price'!B342)/'cryptocurrencies price'!B342</f>
        <v>-5.4174375489838165E-3</v>
      </c>
    </row>
    <row r="342" spans="1:2" x14ac:dyDescent="0.25">
      <c r="A342" s="1">
        <v>43268</v>
      </c>
      <c r="B342">
        <f>('cryptocurrencies price'!B342-'cryptocurrencies price'!B343)/'cryptocurrencies price'!B343</f>
        <v>1.3954100798550051E-2</v>
      </c>
    </row>
    <row r="343" spans="1:2" x14ac:dyDescent="0.25">
      <c r="A343" s="1">
        <v>43267</v>
      </c>
      <c r="B343">
        <f>('cryptocurrencies price'!B343-'cryptocurrencies price'!B344)/'cryptocurrencies price'!B344</f>
        <v>-3.2758073022798664E-2</v>
      </c>
    </row>
    <row r="344" spans="1:2" x14ac:dyDescent="0.25">
      <c r="A344" s="1">
        <v>43266</v>
      </c>
      <c r="B344">
        <f>('cryptocurrencies price'!B344-'cryptocurrencies price'!B345)/'cryptocurrencies price'!B345</f>
        <v>5.2237594103503988E-2</v>
      </c>
    </row>
    <row r="345" spans="1:2" x14ac:dyDescent="0.25">
      <c r="A345" s="1">
        <v>43265</v>
      </c>
      <c r="B345">
        <f>('cryptocurrencies price'!B345-'cryptocurrencies price'!B346)/'cryptocurrencies price'!B346</f>
        <v>-3.8522756212027519E-2</v>
      </c>
    </row>
    <row r="346" spans="1:2" x14ac:dyDescent="0.25">
      <c r="A346" s="1">
        <v>43264</v>
      </c>
      <c r="B346">
        <f>('cryptocurrencies price'!B346-'cryptocurrencies price'!B347)/'cryptocurrencies price'!B347</f>
        <v>-4.4736179048976026E-2</v>
      </c>
    </row>
    <row r="347" spans="1:2" x14ac:dyDescent="0.25">
      <c r="A347" s="1">
        <v>43263</v>
      </c>
      <c r="B347">
        <f>('cryptocurrencies price'!B347-'cryptocurrencies price'!B348)/'cryptocurrencies price'!B348</f>
        <v>1.5667812374527305E-2</v>
      </c>
    </row>
    <row r="348" spans="1:2" x14ac:dyDescent="0.25">
      <c r="A348" s="1">
        <v>43262</v>
      </c>
      <c r="B348">
        <f>('cryptocurrencies price'!B348-'cryptocurrencies price'!B349)/'cryptocurrencies price'!B349</f>
        <v>-9.3373602416144993E-2</v>
      </c>
    </row>
    <row r="349" spans="1:2" x14ac:dyDescent="0.25">
      <c r="A349" s="1">
        <v>43261</v>
      </c>
      <c r="B349">
        <f>('cryptocurrencies price'!B349-'cryptocurrencies price'!B350)/'cryptocurrencies price'!B350</f>
        <v>-1.7421506920388057E-2</v>
      </c>
    </row>
    <row r="350" spans="1:2" x14ac:dyDescent="0.25">
      <c r="A350" s="1">
        <v>43260</v>
      </c>
      <c r="B350">
        <f>('cryptocurrencies price'!B350-'cryptocurrencies price'!B351)/'cryptocurrencies price'!B351</f>
        <v>-6.8469800159788744E-3</v>
      </c>
    </row>
    <row r="351" spans="1:2" x14ac:dyDescent="0.25">
      <c r="A351" s="1">
        <v>43259</v>
      </c>
      <c r="B351">
        <f>('cryptocurrencies price'!B351-'cryptocurrencies price'!B352)/'cryptocurrencies price'!B352</f>
        <v>4.4857936796318066E-3</v>
      </c>
    </row>
    <row r="352" spans="1:2" x14ac:dyDescent="0.25">
      <c r="A352" s="1">
        <v>43258</v>
      </c>
      <c r="B352">
        <f>('cryptocurrencies price'!B352-'cryptocurrencies price'!B353)/'cryptocurrencies price'!B353</f>
        <v>3.2586018565506358E-3</v>
      </c>
    </row>
    <row r="353" spans="1:2" x14ac:dyDescent="0.25">
      <c r="A353" s="1">
        <v>43257</v>
      </c>
      <c r="B353">
        <f>('cryptocurrencies price'!B353-'cryptocurrencies price'!B354)/'cryptocurrencies price'!B354</f>
        <v>1.667399912010567E-2</v>
      </c>
    </row>
    <row r="354" spans="1:2" x14ac:dyDescent="0.25">
      <c r="A354" s="1">
        <v>43256</v>
      </c>
      <c r="B354">
        <f>('cryptocurrencies price'!B354-'cryptocurrencies price'!B355)/'cryptocurrencies price'!B355</f>
        <v>-2.8699143933400079E-2</v>
      </c>
    </row>
    <row r="355" spans="1:2" x14ac:dyDescent="0.25">
      <c r="A355" s="1">
        <v>43255</v>
      </c>
      <c r="B355">
        <f>('cryptocurrencies price'!B355-'cryptocurrencies price'!B356)/'cryptocurrencies price'!B356</f>
        <v>1.1849965081648617E-2</v>
      </c>
    </row>
    <row r="356" spans="1:2" x14ac:dyDescent="0.25">
      <c r="A356" s="1">
        <v>43254</v>
      </c>
      <c r="B356">
        <f>('cryptocurrencies price'!B356-'cryptocurrencies price'!B357)/'cryptocurrencies price'!B357</f>
        <v>1.2654045791803317E-2</v>
      </c>
    </row>
    <row r="357" spans="1:2" x14ac:dyDescent="0.25">
      <c r="A357" s="1">
        <v>43253</v>
      </c>
      <c r="B357">
        <f>('cryptocurrencies price'!B357-'cryptocurrencies price'!B358)/'cryptocurrencies price'!B358</f>
        <v>4.8022184596104951E-3</v>
      </c>
    </row>
    <row r="358" spans="1:2" x14ac:dyDescent="0.25">
      <c r="A358" s="1">
        <v>43252</v>
      </c>
      <c r="B358">
        <f>('cryptocurrencies price'!B358-'cryptocurrencies price'!B359)/'cryptocurrencies price'!B359</f>
        <v>1.2766417099302632E-2</v>
      </c>
    </row>
    <row r="359" spans="1:2" x14ac:dyDescent="0.25">
      <c r="A359" s="1">
        <v>43251</v>
      </c>
      <c r="B359">
        <f>('cryptocurrencies price'!B359-'cryptocurrencies price'!B360)/'cryptocurrencies price'!B360</f>
        <v>-8.5116865000475165E-3</v>
      </c>
    </row>
    <row r="360" spans="1:2" x14ac:dyDescent="0.25">
      <c r="A360" s="1">
        <v>43250</v>
      </c>
      <c r="B360">
        <f>('cryptocurrencies price'!B360-'cryptocurrencies price'!B361)/'cryptocurrencies price'!B361</f>
        <v>4.7727317356433659E-2</v>
      </c>
    </row>
    <row r="361" spans="1:2" x14ac:dyDescent="0.25">
      <c r="A361" s="1">
        <v>43249</v>
      </c>
      <c r="B361">
        <f>('cryptocurrencies price'!B361-'cryptocurrencies price'!B362)/'cryptocurrencies price'!B362</f>
        <v>-3.2809636279033216E-2</v>
      </c>
    </row>
    <row r="362" spans="1:2" x14ac:dyDescent="0.25">
      <c r="A362" s="1">
        <v>43248</v>
      </c>
      <c r="B362">
        <f>('cryptocurrencies price'!B362-'cryptocurrencies price'!B363)/'cryptocurrencies price'!B363</f>
        <v>1.2537217742812456E-3</v>
      </c>
    </row>
    <row r="363" spans="1:2" x14ac:dyDescent="0.25">
      <c r="A363" s="1">
        <v>43247</v>
      </c>
      <c r="B363">
        <f>('cryptocurrencies price'!B363-'cryptocurrencies price'!B364)/'cryptocurrencies price'!B364</f>
        <v>-1.6616620895267154E-2</v>
      </c>
    </row>
    <row r="364" spans="1:2" x14ac:dyDescent="0.25">
      <c r="A364" s="1">
        <v>43246</v>
      </c>
      <c r="B364">
        <f>('cryptocurrencies price'!B364-'cryptocurrencies price'!B365)/'cryptocurrencies price'!B365</f>
        <v>-1.393780540811093E-2</v>
      </c>
    </row>
    <row r="365" spans="1:2" x14ac:dyDescent="0.25">
      <c r="A365" s="1">
        <v>43245</v>
      </c>
      <c r="B365">
        <f>('cryptocurrencies price'!B365-'cryptocurrencies price'!B366)/'cryptocurrencies price'!B366</f>
        <v>4.1237277017161867E-3</v>
      </c>
    </row>
    <row r="366" spans="1:2" x14ac:dyDescent="0.25">
      <c r="A366" s="1">
        <v>43244</v>
      </c>
      <c r="B366">
        <f>('cryptocurrencies price'!B366-'cryptocurrencies price'!B367)/'cryptocurrencies price'!B367</f>
        <v>-5.9220512922603739E-2</v>
      </c>
    </row>
    <row r="367" spans="1:2" x14ac:dyDescent="0.25">
      <c r="A367" s="1">
        <v>43243</v>
      </c>
      <c r="B367">
        <f>('cryptocurrencies price'!B367-'cryptocurrencies price'!B368)/'cryptocurrencies price'!B368</f>
        <v>-4.5462697167533567E-2</v>
      </c>
    </row>
    <row r="368" spans="1:2" x14ac:dyDescent="0.25">
      <c r="A368" s="1">
        <v>43242</v>
      </c>
      <c r="B368">
        <f>('cryptocurrencies price'!B368-'cryptocurrencies price'!B369)/'cryptocurrencies price'!B369</f>
        <v>-1.2022533743706137E-2</v>
      </c>
    </row>
    <row r="369" spans="1:2" x14ac:dyDescent="0.25">
      <c r="A369" s="1">
        <v>43241</v>
      </c>
      <c r="B369">
        <f>('cryptocurrencies price'!B369-'cryptocurrencies price'!B370)/'cryptocurrencies price'!B370</f>
        <v>3.3386726551141707E-2</v>
      </c>
    </row>
    <row r="370" spans="1:2" x14ac:dyDescent="0.25">
      <c r="A370" s="1">
        <v>43240</v>
      </c>
      <c r="B370">
        <f>('cryptocurrencies price'!B370-'cryptocurrencies price'!B371)/'cryptocurrencies price'!B371</f>
        <v>-1.0586586528386686E-3</v>
      </c>
    </row>
    <row r="371" spans="1:2" x14ac:dyDescent="0.25">
      <c r="A371" s="1">
        <v>43239</v>
      </c>
      <c r="B371">
        <f>('cryptocurrencies price'!B371-'cryptocurrencies price'!B372)/'cryptocurrencies price'!B372</f>
        <v>2.0254997942368985E-2</v>
      </c>
    </row>
    <row r="372" spans="1:2" x14ac:dyDescent="0.25">
      <c r="A372" s="1">
        <v>43238</v>
      </c>
      <c r="B372">
        <f>('cryptocurrencies price'!B372-'cryptocurrencies price'!B373)/'cryptocurrencies price'!B373</f>
        <v>-3.3239944803197037E-2</v>
      </c>
    </row>
    <row r="373" spans="1:2" x14ac:dyDescent="0.25">
      <c r="A373" s="1">
        <v>43237</v>
      </c>
      <c r="B373">
        <f>('cryptocurrencies price'!B373-'cryptocurrencies price'!B374)/'cryptocurrencies price'!B374</f>
        <v>-1.5798862002184819E-2</v>
      </c>
    </row>
    <row r="374" spans="1:2" x14ac:dyDescent="0.25">
      <c r="A374" s="1">
        <v>43236</v>
      </c>
      <c r="B374">
        <f>('cryptocurrencies price'!B374-'cryptocurrencies price'!B375)/'cryptocurrencies price'!B375</f>
        <v>-2.3064401810873818E-2</v>
      </c>
    </row>
    <row r="375" spans="1:2" x14ac:dyDescent="0.25">
      <c r="A375" s="1">
        <v>43235</v>
      </c>
      <c r="B375">
        <f>('cryptocurrencies price'!B375-'cryptocurrencies price'!B376)/'cryptocurrencies price'!B376</f>
        <v>-9.0782844223064746E-4</v>
      </c>
    </row>
    <row r="376" spans="1:2" x14ac:dyDescent="0.25">
      <c r="A376" s="1">
        <v>43234</v>
      </c>
      <c r="B376">
        <f>('cryptocurrencies price'!B376-'cryptocurrencies price'!B377)/'cryptocurrencies price'!B377</f>
        <v>2.3205945870407998E-2</v>
      </c>
    </row>
    <row r="377" spans="1:2" x14ac:dyDescent="0.25">
      <c r="A377" s="1">
        <v>43233</v>
      </c>
      <c r="B377">
        <f>('cryptocurrencies price'!B377-'cryptocurrencies price'!B378)/'cryptocurrencies price'!B378</f>
        <v>8.7722000037907359E-3</v>
      </c>
    </row>
    <row r="378" spans="1:2" x14ac:dyDescent="0.25">
      <c r="A378" s="1">
        <v>43232</v>
      </c>
      <c r="B378">
        <f>('cryptocurrencies price'!B378-'cryptocurrencies price'!B379)/'cryptocurrencies price'!B379</f>
        <v>-6.7549177285661122E-2</v>
      </c>
    </row>
    <row r="379" spans="1:2" x14ac:dyDescent="0.25">
      <c r="A379" s="1">
        <v>43231</v>
      </c>
      <c r="B379">
        <f>('cryptocurrencies price'!B379-'cryptocurrencies price'!B380)/'cryptocurrencies price'!B380</f>
        <v>-2.9273125769357797E-2</v>
      </c>
    </row>
    <row r="380" spans="1:2" x14ac:dyDescent="0.25">
      <c r="A380" s="1">
        <v>43230</v>
      </c>
      <c r="B380">
        <f>('cryptocurrencies price'!B380-'cryptocurrencies price'!B381)/'cryptocurrencies price'!B381</f>
        <v>1.1083368658883073E-2</v>
      </c>
    </row>
    <row r="381" spans="1:2" x14ac:dyDescent="0.25">
      <c r="A381" s="1">
        <v>43229</v>
      </c>
      <c r="B381">
        <f>('cryptocurrencies price'!B381-'cryptocurrencies price'!B382)/'cryptocurrencies price'!B382</f>
        <v>-1.6751111570675346E-2</v>
      </c>
    </row>
    <row r="382" spans="1:2" x14ac:dyDescent="0.25">
      <c r="A382" s="1">
        <v>43228</v>
      </c>
      <c r="B382">
        <f>('cryptocurrencies price'!B382-'cryptocurrencies price'!B383)/'cryptocurrencies price'!B383</f>
        <v>-2.7452732676942013E-2</v>
      </c>
    </row>
    <row r="383" spans="1:2" x14ac:dyDescent="0.25">
      <c r="A383" s="1">
        <v>43227</v>
      </c>
      <c r="B383">
        <f>('cryptocurrencies price'!B383-'cryptocurrencies price'!B384)/'cryptocurrencies price'!B384</f>
        <v>-2.0277675360146043E-2</v>
      </c>
    </row>
    <row r="384" spans="1:2" x14ac:dyDescent="0.25">
      <c r="A384" s="1">
        <v>43226</v>
      </c>
      <c r="B384">
        <f>('cryptocurrencies price'!B384-'cryptocurrencies price'!B385)/'cryptocurrencies price'!B385</f>
        <v>1.495111481318053E-2</v>
      </c>
    </row>
    <row r="385" spans="1:2" x14ac:dyDescent="0.25">
      <c r="A385" s="1">
        <v>43225</v>
      </c>
      <c r="B385">
        <f>('cryptocurrencies price'!B385-'cryptocurrencies price'!B386)/'cryptocurrencies price'!B386</f>
        <v>4.9301222216498945E-4</v>
      </c>
    </row>
    <row r="386" spans="1:2" x14ac:dyDescent="0.25">
      <c r="A386" s="1">
        <v>43224</v>
      </c>
      <c r="B386">
        <f>('cryptocurrencies price'!B386-'cryptocurrencies price'!B387)/'cryptocurrencies price'!B387</f>
        <v>4.9981752160771657E-2</v>
      </c>
    </row>
    <row r="387" spans="1:2" x14ac:dyDescent="0.25">
      <c r="A387" s="1">
        <v>43223</v>
      </c>
      <c r="B387">
        <f>('cryptocurrencies price'!B387-'cryptocurrencies price'!B388)/'cryptocurrencies price'!B388</f>
        <v>1.4209300793005621E-2</v>
      </c>
    </row>
    <row r="388" spans="1:2" x14ac:dyDescent="0.25">
      <c r="A388" s="1">
        <v>43222</v>
      </c>
      <c r="B388">
        <f>('cryptocurrencies price'!B388-'cryptocurrencies price'!B389)/'cryptocurrencies price'!B389</f>
        <v>-1.5875314949948385E-2</v>
      </c>
    </row>
    <row r="389" spans="1:2" x14ac:dyDescent="0.25">
      <c r="A389" s="1">
        <v>43221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E7896-3DD4-4FC9-83B1-13E4E68C085C}">
  <dimension ref="A2:W395"/>
  <sheetViews>
    <sheetView tabSelected="1" topLeftCell="A247" workbookViewId="0">
      <selection activeCell="R393" sqref="R393:W395"/>
    </sheetView>
  </sheetViews>
  <sheetFormatPr defaultRowHeight="15" x14ac:dyDescent="0.25"/>
  <cols>
    <col min="1" max="1" width="12" bestFit="1" customWidth="1"/>
    <col min="2" max="2" width="12.140625" bestFit="1" customWidth="1"/>
    <col min="4" max="4" width="14.85546875" bestFit="1" customWidth="1"/>
    <col min="5" max="5" width="15" bestFit="1" customWidth="1"/>
    <col min="10" max="10" width="16" bestFit="1" customWidth="1"/>
    <col min="18" max="18" width="12.5703125" bestFit="1" customWidth="1"/>
    <col min="19" max="19" width="8" bestFit="1" customWidth="1"/>
    <col min="20" max="20" width="9.85546875" bestFit="1" customWidth="1"/>
    <col min="21" max="21" width="9.7109375" bestFit="1" customWidth="1"/>
    <col min="22" max="22" width="11.85546875" bestFit="1" customWidth="1"/>
    <col min="23" max="23" width="9.7109375" bestFit="1" customWidth="1"/>
  </cols>
  <sheetData>
    <row r="2" spans="1:15" x14ac:dyDescent="0.25">
      <c r="A2" t="s">
        <v>6214</v>
      </c>
      <c r="B2" t="s">
        <v>6213</v>
      </c>
      <c r="D2" t="s">
        <v>6215</v>
      </c>
      <c r="E2" t="s">
        <v>6216</v>
      </c>
      <c r="G2" t="s">
        <v>6219</v>
      </c>
      <c r="H2" t="s">
        <v>6220</v>
      </c>
      <c r="J2" t="s">
        <v>6217</v>
      </c>
      <c r="K2" t="s">
        <v>6218</v>
      </c>
      <c r="M2" t="s">
        <v>6221</v>
      </c>
      <c r="N2" t="s">
        <v>6222</v>
      </c>
    </row>
    <row r="3" spans="1:15" x14ac:dyDescent="0.25">
      <c r="A3">
        <v>6269.1459999999997</v>
      </c>
      <c r="B3">
        <v>2982.3240000000001</v>
      </c>
      <c r="C3">
        <f>B3/A3</f>
        <v>0.47571455506060956</v>
      </c>
      <c r="D3">
        <v>380.50540000000001</v>
      </c>
      <c r="E3">
        <v>289.95460000000003</v>
      </c>
      <c r="F3">
        <f>E3/D3</f>
        <v>0.76202492789852661</v>
      </c>
      <c r="G3">
        <v>93.831029999999998</v>
      </c>
      <c r="H3">
        <v>54.508969999999998</v>
      </c>
      <c r="I3">
        <f>H3/G3</f>
        <v>0.58092690658942991</v>
      </c>
      <c r="J3">
        <v>0</v>
      </c>
      <c r="K3">
        <v>1348.64</v>
      </c>
      <c r="M3">
        <v>263.31760000000003</v>
      </c>
      <c r="N3">
        <v>209.8424</v>
      </c>
      <c r="O3">
        <f>N3/M3</f>
        <v>0.79691748671566187</v>
      </c>
    </row>
    <row r="4" spans="1:15" x14ac:dyDescent="0.25">
      <c r="A4">
        <v>9238.0969999999998</v>
      </c>
      <c r="B4">
        <f>-133.4969</f>
        <v>-133.49690000000001</v>
      </c>
      <c r="C4">
        <f t="shared" ref="C4:C67" si="0">B4/A4</f>
        <v>-1.4450692604764814E-2</v>
      </c>
      <c r="D4">
        <v>669.91759999999999</v>
      </c>
      <c r="E4">
        <v>4.1624169999999996</v>
      </c>
      <c r="F4">
        <f t="shared" ref="F4:F67" si="1">E4/D4</f>
        <v>6.2133268330314051E-3</v>
      </c>
      <c r="G4">
        <v>148.18940000000001</v>
      </c>
      <c r="H4">
        <v>0.26060860000000002</v>
      </c>
      <c r="I4">
        <f t="shared" ref="I4:I67" si="2">H4/G4</f>
        <v>1.7586183627169016E-3</v>
      </c>
      <c r="J4">
        <v>1347.5540000000001</v>
      </c>
      <c r="K4">
        <v>5.9863330000000001</v>
      </c>
      <c r="L4">
        <f>K4/J4</f>
        <v>4.4423696564293525E-3</v>
      </c>
      <c r="M4">
        <v>472.87740000000002</v>
      </c>
      <c r="N4">
        <v>5.2925719999999998</v>
      </c>
      <c r="O4">
        <f t="shared" ref="O4:O67" si="3">N4/M4</f>
        <v>1.1192270977636063E-2</v>
      </c>
    </row>
    <row r="5" spans="1:15" x14ac:dyDescent="0.25">
      <c r="A5">
        <v>9082.9619999999995</v>
      </c>
      <c r="B5">
        <v>151.00810000000001</v>
      </c>
      <c r="C5">
        <f t="shared" si="0"/>
        <v>1.6625424613688797E-2</v>
      </c>
      <c r="D5">
        <v>673.49689999999998</v>
      </c>
      <c r="E5">
        <v>13.09313</v>
      </c>
      <c r="F5">
        <f t="shared" si="1"/>
        <v>1.9440520067724145E-2</v>
      </c>
      <c r="G5">
        <v>148.29910000000001</v>
      </c>
      <c r="H5">
        <v>3.5609130000000002</v>
      </c>
      <c r="I5">
        <f t="shared" si="2"/>
        <v>2.4011696632009229E-2</v>
      </c>
      <c r="J5">
        <v>1352.45</v>
      </c>
      <c r="K5">
        <v>107.1003</v>
      </c>
      <c r="L5">
        <f t="shared" ref="L5:L68" si="4">K5/J5</f>
        <v>7.9189840659543792E-2</v>
      </c>
      <c r="M5">
        <v>477.976</v>
      </c>
      <c r="N5">
        <v>3.5840130000000001</v>
      </c>
      <c r="O5">
        <f t="shared" si="3"/>
        <v>7.4983116307094921E-3</v>
      </c>
    </row>
    <row r="6" spans="1:15" x14ac:dyDescent="0.25">
      <c r="A6">
        <v>9218.2540000000008</v>
      </c>
      <c r="B6">
        <v>477.2457</v>
      </c>
      <c r="C6">
        <f t="shared" si="0"/>
        <v>5.1771810583652822E-2</v>
      </c>
      <c r="D6">
        <v>685.84950000000003</v>
      </c>
      <c r="E6">
        <v>90.930539999999993</v>
      </c>
      <c r="F6">
        <f t="shared" si="1"/>
        <v>0.13258089420492394</v>
      </c>
      <c r="G6">
        <v>151.69970000000001</v>
      </c>
      <c r="H6">
        <v>8.7703340000000001</v>
      </c>
      <c r="I6">
        <f t="shared" si="2"/>
        <v>5.7813786052312563E-2</v>
      </c>
      <c r="J6">
        <v>1458.374</v>
      </c>
      <c r="K6">
        <v>43.025669999999998</v>
      </c>
      <c r="L6">
        <f t="shared" si="4"/>
        <v>2.9502493873313704E-2</v>
      </c>
      <c r="M6">
        <v>481.42070000000001</v>
      </c>
      <c r="N6">
        <v>21.2593</v>
      </c>
      <c r="O6">
        <f t="shared" si="3"/>
        <v>4.4159505397254419E-2</v>
      </c>
    </row>
    <row r="7" spans="1:15" x14ac:dyDescent="0.25">
      <c r="A7">
        <v>9700.08</v>
      </c>
      <c r="B7">
        <v>0.19948250000000001</v>
      </c>
      <c r="C7">
        <f t="shared" si="0"/>
        <v>2.0565036577017921E-5</v>
      </c>
      <c r="D7">
        <v>774.85709999999995</v>
      </c>
      <c r="E7">
        <v>9.7229399999999995</v>
      </c>
      <c r="F7">
        <f t="shared" si="1"/>
        <v>1.2548042729427143E-2</v>
      </c>
      <c r="G7">
        <v>160.2859</v>
      </c>
      <c r="H7">
        <v>8.0641239999999996</v>
      </c>
      <c r="I7">
        <f t="shared" si="2"/>
        <v>5.031087575388727E-2</v>
      </c>
      <c r="J7">
        <v>1500.191</v>
      </c>
      <c r="K7">
        <v>16.549379999999999</v>
      </c>
      <c r="L7">
        <f t="shared" si="4"/>
        <v>1.1031515320382537E-2</v>
      </c>
      <c r="M7">
        <v>502.91250000000002</v>
      </c>
      <c r="N7">
        <f>-16.59252</f>
        <v>-16.59252</v>
      </c>
      <c r="O7">
        <f t="shared" si="3"/>
        <v>-3.2992856610245321E-2</v>
      </c>
    </row>
    <row r="8" spans="1:15" x14ac:dyDescent="0.25">
      <c r="A8">
        <v>9703.2139999999999</v>
      </c>
      <c r="B8">
        <v>142.096</v>
      </c>
      <c r="C8">
        <f t="shared" si="0"/>
        <v>1.4644219946092088E-2</v>
      </c>
      <c r="D8">
        <v>782.54560000000004</v>
      </c>
      <c r="E8">
        <v>33.544400000000003</v>
      </c>
      <c r="F8">
        <f t="shared" si="1"/>
        <v>4.2865744820493532E-2</v>
      </c>
      <c r="G8">
        <v>168.14410000000001</v>
      </c>
      <c r="H8">
        <v>9.8758959999999991</v>
      </c>
      <c r="I8">
        <f t="shared" si="2"/>
        <v>5.873471623446793E-2</v>
      </c>
      <c r="J8">
        <v>1515.518</v>
      </c>
      <c r="K8">
        <v>243.3117</v>
      </c>
      <c r="L8">
        <f t="shared" si="4"/>
        <v>0.16054688891850838</v>
      </c>
      <c r="M8">
        <v>486.24689999999998</v>
      </c>
      <c r="N8">
        <v>19.81306</v>
      </c>
      <c r="O8">
        <f t="shared" si="3"/>
        <v>4.0746912730960344E-2</v>
      </c>
    </row>
    <row r="9" spans="1:15" x14ac:dyDescent="0.25">
      <c r="A9">
        <v>9852.3829999999998</v>
      </c>
      <c r="B9">
        <f>-206.713</f>
        <v>-206.71299999999999</v>
      </c>
      <c r="C9">
        <f t="shared" si="0"/>
        <v>-2.0981015455854689E-2</v>
      </c>
      <c r="D9">
        <v>813.62350000000004</v>
      </c>
      <c r="E9">
        <f>-20.28354</f>
        <v>-20.283539999999999</v>
      </c>
      <c r="F9">
        <f t="shared" si="1"/>
        <v>-2.4929884645662273E-2</v>
      </c>
      <c r="G9">
        <v>177.78739999999999</v>
      </c>
      <c r="H9">
        <f>-6.027385</f>
        <v>-6.0273849999999998</v>
      </c>
      <c r="I9">
        <f t="shared" si="2"/>
        <v>-3.3902205668118211E-2</v>
      </c>
      <c r="J9">
        <v>1757.413</v>
      </c>
      <c r="K9">
        <v>9.2467419999999994</v>
      </c>
      <c r="L9">
        <f t="shared" si="4"/>
        <v>5.2615645838513768E-3</v>
      </c>
      <c r="M9">
        <v>506.23970000000003</v>
      </c>
      <c r="N9">
        <f>-20.49974</f>
        <v>-20.499739999999999</v>
      </c>
      <c r="O9">
        <f t="shared" si="3"/>
        <v>-4.0494137460969575E-2</v>
      </c>
    </row>
    <row r="10" spans="1:15" x14ac:dyDescent="0.25">
      <c r="A10">
        <v>9643.0139999999992</v>
      </c>
      <c r="B10">
        <f>-262.1433</f>
        <v>-262.14330000000001</v>
      </c>
      <c r="C10">
        <f t="shared" si="0"/>
        <v>-2.7184788905211591E-2</v>
      </c>
      <c r="D10">
        <v>791.16800000000001</v>
      </c>
      <c r="E10">
        <f>-36.15795</f>
        <v>-36.15795</v>
      </c>
      <c r="F10">
        <f t="shared" si="1"/>
        <v>-4.570198744135253E-2</v>
      </c>
      <c r="G10">
        <v>171.54470000000001</v>
      </c>
      <c r="H10">
        <f>-6.714682</f>
        <v>-6.7146819999999998</v>
      </c>
      <c r="I10">
        <f t="shared" si="2"/>
        <v>-3.9142462576809423E-2</v>
      </c>
      <c r="J10">
        <v>1765.2370000000001</v>
      </c>
      <c r="K10">
        <f>-92.16695</f>
        <v>-92.16695</v>
      </c>
      <c r="L10">
        <f t="shared" si="4"/>
        <v>-5.2212224194258333E-2</v>
      </c>
      <c r="M10">
        <v>485.49619999999999</v>
      </c>
      <c r="N10">
        <f>-26.73615</f>
        <v>-26.736149999999999</v>
      </c>
      <c r="O10">
        <f t="shared" si="3"/>
        <v>-5.5069741019600153E-2</v>
      </c>
    </row>
    <row r="11" spans="1:15" x14ac:dyDescent="0.25">
      <c r="A11">
        <v>9374.5310000000009</v>
      </c>
      <c r="B11">
        <f>-150.801</f>
        <v>-150.80099999999999</v>
      </c>
      <c r="C11">
        <f t="shared" si="0"/>
        <v>-1.6086244741203584E-2</v>
      </c>
      <c r="D11">
        <v>753.35170000000005</v>
      </c>
      <c r="E11">
        <v>-0.45166089999999998</v>
      </c>
      <c r="F11">
        <f t="shared" si="1"/>
        <v>-5.9953525026889827E-4</v>
      </c>
      <c r="G11">
        <v>164.63380000000001</v>
      </c>
      <c r="H11">
        <f>-5.013829</f>
        <v>-5.0138290000000003</v>
      </c>
      <c r="I11">
        <f t="shared" si="2"/>
        <v>-3.0454432807843834E-2</v>
      </c>
      <c r="J11">
        <v>1671.722</v>
      </c>
      <c r="K11">
        <f>-63.85234</f>
        <v>-63.852339999999998</v>
      </c>
      <c r="L11">
        <f t="shared" si="4"/>
        <v>-3.8195549259984612E-2</v>
      </c>
      <c r="M11">
        <v>457.6361</v>
      </c>
      <c r="N11">
        <f>-14.50607</f>
        <v>-14.506069999999999</v>
      </c>
      <c r="O11">
        <f t="shared" si="3"/>
        <v>-3.1697827160051401E-2</v>
      </c>
    </row>
    <row r="12" spans="1:15" x14ac:dyDescent="0.25">
      <c r="A12">
        <v>9205.5239999999994</v>
      </c>
      <c r="B12">
        <v>120.4357</v>
      </c>
      <c r="C12">
        <f t="shared" si="0"/>
        <v>1.3082981479381294E-2</v>
      </c>
      <c r="D12">
        <v>751.26459999999997</v>
      </c>
      <c r="E12">
        <v>1.3153459999999999</v>
      </c>
      <c r="F12">
        <f t="shared" si="1"/>
        <v>1.750842512744511E-3</v>
      </c>
      <c r="G12">
        <v>159.43819999999999</v>
      </c>
      <c r="H12">
        <f>-2.288225</f>
        <v>-2.2882250000000002</v>
      </c>
      <c r="I12">
        <f t="shared" si="2"/>
        <v>-1.4351799004253688E-2</v>
      </c>
      <c r="J12">
        <v>1606.575</v>
      </c>
      <c r="K12">
        <v>39.575139999999998</v>
      </c>
      <c r="L12">
        <f t="shared" si="4"/>
        <v>2.4633235298694427E-2</v>
      </c>
      <c r="M12">
        <v>442.0428</v>
      </c>
      <c r="N12">
        <v>1.1072219999999999</v>
      </c>
      <c r="O12">
        <f t="shared" si="3"/>
        <v>2.5047846045677022E-3</v>
      </c>
    </row>
    <row r="13" spans="1:15" x14ac:dyDescent="0.25">
      <c r="A13">
        <v>9291.0750000000007</v>
      </c>
      <c r="B13">
        <f>-238.1149</f>
        <v>-238.11490000000001</v>
      </c>
      <c r="C13">
        <f t="shared" si="0"/>
        <v>-2.5628347634692433E-2</v>
      </c>
      <c r="D13">
        <v>750.99300000000005</v>
      </c>
      <c r="E13">
        <f>-23.98302</f>
        <v>-23.98302</v>
      </c>
      <c r="F13">
        <f t="shared" si="1"/>
        <v>-3.1935077956785213E-2</v>
      </c>
      <c r="G13">
        <v>156.9751</v>
      </c>
      <c r="H13">
        <f>-7.525049</f>
        <v>-7.5250490000000001</v>
      </c>
      <c r="I13">
        <f t="shared" si="2"/>
        <v>-4.7937851289790549E-2</v>
      </c>
      <c r="J13">
        <v>1644.8240000000001</v>
      </c>
      <c r="K13">
        <f>-117.334</f>
        <v>-117.334</v>
      </c>
      <c r="L13">
        <f t="shared" si="4"/>
        <v>-7.1335291800216916E-2</v>
      </c>
      <c r="M13">
        <v>441.6859</v>
      </c>
      <c r="N13">
        <f>-20.07584</f>
        <v>-20.075839999999999</v>
      </c>
      <c r="O13">
        <f t="shared" si="3"/>
        <v>-4.5452752736729878E-2</v>
      </c>
    </row>
    <row r="14" spans="1:15" x14ac:dyDescent="0.25">
      <c r="A14">
        <v>9007.2950000000001</v>
      </c>
      <c r="B14">
        <f>-565.8545</f>
        <v>-565.85450000000003</v>
      </c>
      <c r="C14">
        <f t="shared" si="0"/>
        <v>-6.2821801661875176E-2</v>
      </c>
      <c r="D14">
        <v>725.92880000000002</v>
      </c>
      <c r="E14">
        <f>-46.04884</f>
        <v>-46.048839999999998</v>
      </c>
      <c r="F14">
        <f t="shared" si="1"/>
        <v>-6.3434375382268884E-2</v>
      </c>
      <c r="G14">
        <v>149.2963</v>
      </c>
      <c r="H14">
        <f>-12.03632</f>
        <v>-12.03632</v>
      </c>
      <c r="I14">
        <f t="shared" si="2"/>
        <v>-8.0620350269899527E-2</v>
      </c>
      <c r="J14">
        <v>1526.26</v>
      </c>
      <c r="K14">
        <f>-150.2096</f>
        <v>-150.20959999999999</v>
      </c>
      <c r="L14">
        <f t="shared" si="4"/>
        <v>-9.8416783510017952E-2</v>
      </c>
      <c r="M14">
        <v>420.15390000000002</v>
      </c>
      <c r="N14">
        <f>-30.91387</f>
        <v>-30.913869999999999</v>
      </c>
      <c r="O14">
        <f t="shared" si="3"/>
        <v>-7.3577491485857918E-2</v>
      </c>
    </row>
    <row r="15" spans="1:15" x14ac:dyDescent="0.25">
      <c r="A15">
        <v>8365.6200000000008</v>
      </c>
      <c r="B15">
        <v>149.86959999999999</v>
      </c>
      <c r="C15">
        <f t="shared" si="0"/>
        <v>1.7914942347369348E-2</v>
      </c>
      <c r="D15">
        <v>680.54600000000005</v>
      </c>
      <c r="E15">
        <v>6.6239689999999998</v>
      </c>
      <c r="F15">
        <f t="shared" si="1"/>
        <v>9.7333156024721323E-3</v>
      </c>
      <c r="G15">
        <v>137.13999999999999</v>
      </c>
      <c r="H15">
        <v>4.6599950000000003</v>
      </c>
      <c r="I15">
        <f t="shared" si="2"/>
        <v>3.397983812162754E-2</v>
      </c>
      <c r="J15">
        <v>1374.942</v>
      </c>
      <c r="K15">
        <v>99.81841</v>
      </c>
      <c r="L15">
        <f t="shared" si="4"/>
        <v>7.2598269599735837E-2</v>
      </c>
      <c r="M15">
        <v>387.72800000000001</v>
      </c>
      <c r="N15">
        <v>16.38203</v>
      </c>
      <c r="O15">
        <f t="shared" si="3"/>
        <v>4.2251346304625924E-2</v>
      </c>
    </row>
    <row r="16" spans="1:15" x14ac:dyDescent="0.25">
      <c r="A16">
        <v>8451.4629999999997</v>
      </c>
      <c r="B16">
        <v>261.637</v>
      </c>
      <c r="C16">
        <f t="shared" si="0"/>
        <v>3.0957598702141868E-2</v>
      </c>
      <c r="D16">
        <v>687.82979999999998</v>
      </c>
      <c r="E16">
        <v>44.900199999999998</v>
      </c>
      <c r="F16">
        <f t="shared" si="1"/>
        <v>6.5278067335843834E-2</v>
      </c>
      <c r="G16">
        <v>141.66749999999999</v>
      </c>
      <c r="H16">
        <v>2.9525380000000001</v>
      </c>
      <c r="I16">
        <f t="shared" si="2"/>
        <v>2.0841322109869945E-2</v>
      </c>
      <c r="J16">
        <v>1473.5719999999999</v>
      </c>
      <c r="K16">
        <v>15.75792</v>
      </c>
      <c r="L16">
        <f t="shared" si="4"/>
        <v>1.069368853371264E-2</v>
      </c>
      <c r="M16">
        <v>403.15929999999997</v>
      </c>
      <c r="N16">
        <v>13.330719999999999</v>
      </c>
      <c r="O16">
        <f t="shared" si="3"/>
        <v>3.3065639314285945E-2</v>
      </c>
    </row>
    <row r="17" spans="1:15" x14ac:dyDescent="0.25">
      <c r="A17">
        <v>8668.5619999999999</v>
      </c>
      <c r="B17">
        <v>36.628399999999999</v>
      </c>
      <c r="C17">
        <f t="shared" si="0"/>
        <v>4.2254297771648864E-3</v>
      </c>
      <c r="D17">
        <v>733.14160000000004</v>
      </c>
      <c r="E17">
        <f>-2.001607</f>
        <v>-2.0016069999999999</v>
      </c>
      <c r="F17">
        <f t="shared" si="1"/>
        <v>-2.7301779083331239E-3</v>
      </c>
      <c r="G17">
        <v>144.47970000000001</v>
      </c>
      <c r="H17">
        <v>3.0103300000000002</v>
      </c>
      <c r="I17">
        <f t="shared" si="2"/>
        <v>2.0835660649904449E-2</v>
      </c>
      <c r="J17">
        <v>1488.13</v>
      </c>
      <c r="K17">
        <f>-57.85034</f>
        <v>-57.850340000000003</v>
      </c>
      <c r="L17">
        <f t="shared" si="4"/>
        <v>-3.8874520371204126E-2</v>
      </c>
      <c r="M17">
        <v>415.75749999999999</v>
      </c>
      <c r="N17">
        <v>16.422509999999999</v>
      </c>
      <c r="O17">
        <f t="shared" si="3"/>
        <v>3.9500213465782336E-2</v>
      </c>
    </row>
    <row r="18" spans="1:15" x14ac:dyDescent="0.25">
      <c r="A18">
        <v>8667.3719999999994</v>
      </c>
      <c r="B18">
        <f>-162.9616</f>
        <v>-162.9616</v>
      </c>
      <c r="C18">
        <f t="shared" si="0"/>
        <v>-1.8801731366785691E-2</v>
      </c>
      <c r="D18">
        <v>731.29750000000001</v>
      </c>
      <c r="E18">
        <f>-23.20746</f>
        <v>-23.207460000000001</v>
      </c>
      <c r="F18">
        <f t="shared" si="1"/>
        <v>-3.1734636040735814E-2</v>
      </c>
      <c r="G18">
        <v>147.3417</v>
      </c>
      <c r="H18">
        <f>-7.69174</f>
        <v>-7.6917400000000002</v>
      </c>
      <c r="I18">
        <f t="shared" si="2"/>
        <v>-5.2203415597892516E-2</v>
      </c>
      <c r="J18">
        <v>1429.1279999999999</v>
      </c>
      <c r="K18">
        <f>-87.23791</f>
        <v>-87.237909999999999</v>
      </c>
      <c r="L18">
        <f t="shared" si="4"/>
        <v>-6.1042754742752225E-2</v>
      </c>
      <c r="M18">
        <v>432.13619999999997</v>
      </c>
      <c r="N18">
        <f>-2.816236</f>
        <v>-2.816236</v>
      </c>
      <c r="O18">
        <f t="shared" si="3"/>
        <v>-6.5170101463381223E-3</v>
      </c>
    </row>
    <row r="19" spans="1:15" x14ac:dyDescent="0.25">
      <c r="A19">
        <v>8454.2489999999998</v>
      </c>
      <c r="B19">
        <f>-84.19926</f>
        <v>-84.199259999999995</v>
      </c>
      <c r="C19">
        <f t="shared" si="0"/>
        <v>-9.9594014796583353E-3</v>
      </c>
      <c r="D19">
        <v>708.10130000000004</v>
      </c>
      <c r="E19">
        <v>0.61873180000000005</v>
      </c>
      <c r="F19">
        <f t="shared" si="1"/>
        <v>8.7378995067513652E-4</v>
      </c>
      <c r="G19">
        <v>139.52340000000001</v>
      </c>
      <c r="H19">
        <v>3.6598100000000001E-2</v>
      </c>
      <c r="I19">
        <f t="shared" si="2"/>
        <v>2.6230797127936963E-4</v>
      </c>
      <c r="J19">
        <v>1340.809</v>
      </c>
      <c r="K19">
        <f>-50.5891</f>
        <v>-50.589100000000002</v>
      </c>
      <c r="L19">
        <f t="shared" si="4"/>
        <v>-3.7730280748413836E-2</v>
      </c>
      <c r="M19">
        <v>429.84440000000001</v>
      </c>
      <c r="N19">
        <f>-16.81443</f>
        <v>-16.814430000000002</v>
      </c>
      <c r="O19">
        <f t="shared" si="3"/>
        <v>-3.9117480651137952E-2</v>
      </c>
    </row>
    <row r="20" spans="1:15" x14ac:dyDescent="0.25">
      <c r="A20">
        <v>8326.8960000000006</v>
      </c>
      <c r="B20">
        <f>-235.0653</f>
        <v>-235.06530000000001</v>
      </c>
      <c r="C20">
        <f t="shared" si="0"/>
        <v>-2.822964283449679E-2</v>
      </c>
      <c r="D20">
        <v>708.697</v>
      </c>
      <c r="E20">
        <f>-36.59694</f>
        <v>-36.596939999999996</v>
      </c>
      <c r="F20">
        <f t="shared" si="1"/>
        <v>-5.1639755777151582E-2</v>
      </c>
      <c r="G20">
        <v>139.43369999999999</v>
      </c>
      <c r="H20">
        <f>-6.733651</f>
        <v>-6.7336510000000001</v>
      </c>
      <c r="I20">
        <f t="shared" si="2"/>
        <v>-4.8292851728097302E-2</v>
      </c>
      <c r="J20">
        <v>1289.181</v>
      </c>
      <c r="K20">
        <f>-86.98073</f>
        <v>-86.980729999999994</v>
      </c>
      <c r="L20">
        <f t="shared" si="4"/>
        <v>-6.7469757931586022E-2</v>
      </c>
      <c r="M20">
        <v>412.98259999999999</v>
      </c>
      <c r="N20">
        <f>-25.02257</f>
        <v>-25.022570000000002</v>
      </c>
      <c r="O20">
        <f t="shared" si="3"/>
        <v>-6.0589889259256936E-2</v>
      </c>
    </row>
    <row r="21" spans="1:15" x14ac:dyDescent="0.25">
      <c r="A21">
        <v>8065.25</v>
      </c>
      <c r="B21">
        <v>190.48070000000001</v>
      </c>
      <c r="C21">
        <f t="shared" si="0"/>
        <v>2.3617457611357369E-2</v>
      </c>
      <c r="D21">
        <v>672.58</v>
      </c>
      <c r="E21">
        <v>22.490030000000001</v>
      </c>
      <c r="F21">
        <f t="shared" si="1"/>
        <v>3.3438445984120845E-2</v>
      </c>
      <c r="G21">
        <v>132.5926</v>
      </c>
      <c r="H21">
        <v>3.3673950000000001</v>
      </c>
      <c r="I21">
        <f t="shared" si="2"/>
        <v>2.5396553050471896E-2</v>
      </c>
      <c r="J21">
        <v>1201.232</v>
      </c>
      <c r="K21">
        <v>5.3783760000000003</v>
      </c>
      <c r="L21">
        <f t="shared" si="4"/>
        <v>4.4773832198942423E-3</v>
      </c>
      <c r="M21">
        <v>387.23329999999999</v>
      </c>
      <c r="N21">
        <v>8.6967210000000001</v>
      </c>
      <c r="O21">
        <f t="shared" si="3"/>
        <v>2.2458608286012594E-2</v>
      </c>
    </row>
    <row r="22" spans="1:15" x14ac:dyDescent="0.25">
      <c r="A22">
        <v>8232.1830000000009</v>
      </c>
      <c r="B22">
        <v>14.807779999999999</v>
      </c>
      <c r="C22">
        <f t="shared" si="0"/>
        <v>1.7987671070966227E-3</v>
      </c>
      <c r="D22">
        <v>694.92160000000001</v>
      </c>
      <c r="E22">
        <v>2.9983789999999999</v>
      </c>
      <c r="F22">
        <f t="shared" si="1"/>
        <v>4.3147011116074097E-3</v>
      </c>
      <c r="G22">
        <v>135.84360000000001</v>
      </c>
      <c r="H22">
        <v>-0.57359740000000004</v>
      </c>
      <c r="I22">
        <f t="shared" si="2"/>
        <v>-4.2224837975436457E-3</v>
      </c>
      <c r="J22">
        <v>1205.6379999999999</v>
      </c>
      <c r="K22">
        <f>-22.43807</f>
        <v>-22.43807</v>
      </c>
      <c r="L22">
        <f t="shared" si="4"/>
        <v>-1.8610951214211895E-2</v>
      </c>
      <c r="M22">
        <v>395.04410000000001</v>
      </c>
      <c r="N22">
        <f>-8.144125</f>
        <v>-8.1441250000000007</v>
      </c>
      <c r="O22">
        <f t="shared" si="3"/>
        <v>-2.0615736319059063E-2</v>
      </c>
    </row>
    <row r="23" spans="1:15" x14ac:dyDescent="0.25">
      <c r="A23">
        <v>8214.2690000000002</v>
      </c>
      <c r="B23">
        <v>308.06180000000001</v>
      </c>
      <c r="C23">
        <f t="shared" si="0"/>
        <v>3.7503251963138778E-2</v>
      </c>
      <c r="D23">
        <v>697.16010000000006</v>
      </c>
      <c r="E23">
        <v>20.029920000000001</v>
      </c>
      <c r="F23">
        <f t="shared" si="1"/>
        <v>2.8730732008329218E-2</v>
      </c>
      <c r="G23">
        <v>135.15549999999999</v>
      </c>
      <c r="H23">
        <v>4.484496</v>
      </c>
      <c r="I23">
        <f t="shared" si="2"/>
        <v>3.3180270133290918E-2</v>
      </c>
      <c r="J23">
        <v>1182.2470000000001</v>
      </c>
      <c r="K23">
        <v>113.7831</v>
      </c>
      <c r="L23">
        <f t="shared" si="4"/>
        <v>9.6243086258624461E-2</v>
      </c>
      <c r="M23">
        <v>385.90929999999997</v>
      </c>
      <c r="N23">
        <v>16.600660000000001</v>
      </c>
      <c r="O23">
        <f t="shared" si="3"/>
        <v>4.301699907206176E-2</v>
      </c>
    </row>
    <row r="24" spans="1:15" x14ac:dyDescent="0.25">
      <c r="A24">
        <v>8500.6190000000006</v>
      </c>
      <c r="B24">
        <f>-80.74919</f>
        <v>-80.749189999999999</v>
      </c>
      <c r="C24">
        <f t="shared" si="0"/>
        <v>-9.4992129396694516E-3</v>
      </c>
      <c r="D24">
        <v>716.2518</v>
      </c>
      <c r="E24">
        <f>-16.07182</f>
        <v>-16.071819999999999</v>
      </c>
      <c r="F24">
        <f t="shared" si="1"/>
        <v>-2.243878479607311E-2</v>
      </c>
      <c r="G24">
        <v>139.51339999999999</v>
      </c>
      <c r="H24">
        <f>-5.253429</f>
        <v>-5.2534289999999997</v>
      </c>
      <c r="I24">
        <f t="shared" si="2"/>
        <v>-3.7655372172135437E-2</v>
      </c>
      <c r="J24">
        <v>1294.9860000000001</v>
      </c>
      <c r="K24">
        <f>-61.28605</f>
        <v>-61.286050000000003</v>
      </c>
      <c r="L24">
        <f t="shared" si="4"/>
        <v>-4.7325646763748792E-2</v>
      </c>
      <c r="M24">
        <v>402.10629999999998</v>
      </c>
      <c r="N24">
        <f>-17.50633</f>
        <v>-17.506329999999998</v>
      </c>
      <c r="O24">
        <f t="shared" si="3"/>
        <v>-4.3536572294440551E-2</v>
      </c>
    </row>
    <row r="25" spans="1:15" x14ac:dyDescent="0.25">
      <c r="A25">
        <v>8403.1710000000003</v>
      </c>
      <c r="B25">
        <f>-366.0908</f>
        <v>-366.0908</v>
      </c>
      <c r="C25">
        <f t="shared" si="0"/>
        <v>-4.3565792008754788E-2</v>
      </c>
      <c r="D25">
        <v>700.03030000000001</v>
      </c>
      <c r="E25">
        <f>-53.36032</f>
        <v>-53.360320000000002</v>
      </c>
      <c r="F25">
        <f t="shared" si="1"/>
        <v>-7.6225729086298127E-2</v>
      </c>
      <c r="G25">
        <v>134.14830000000001</v>
      </c>
      <c r="H25">
        <f>-5.338295</f>
        <v>-5.3382949999999996</v>
      </c>
      <c r="I25">
        <f t="shared" si="2"/>
        <v>-3.9793981735139386E-2</v>
      </c>
      <c r="J25">
        <v>1232.7059999999999</v>
      </c>
      <c r="K25">
        <f>-90.45625</f>
        <v>-90.456249999999997</v>
      </c>
      <c r="L25">
        <f t="shared" si="4"/>
        <v>-7.3380230160313975E-2</v>
      </c>
      <c r="M25">
        <v>384.35930000000002</v>
      </c>
      <c r="N25">
        <f>-23.90925</f>
        <v>-23.90925</v>
      </c>
      <c r="O25">
        <f t="shared" si="3"/>
        <v>-6.2205467644467036E-2</v>
      </c>
    </row>
    <row r="26" spans="1:15" x14ac:dyDescent="0.25">
      <c r="A26">
        <v>8011.5720000000001</v>
      </c>
      <c r="B26">
        <f>-450.4522</f>
        <v>-450.4522</v>
      </c>
      <c r="C26">
        <f t="shared" si="0"/>
        <v>-5.6225195255063552E-2</v>
      </c>
      <c r="D26">
        <v>647.24180000000001</v>
      </c>
      <c r="E26">
        <f>-62.70174</f>
        <v>-62.701740000000001</v>
      </c>
      <c r="F26">
        <f t="shared" si="1"/>
        <v>-9.6875294518988117E-2</v>
      </c>
      <c r="G26">
        <v>128.7133</v>
      </c>
      <c r="H26">
        <f>-9.523353</f>
        <v>-9.5233530000000002</v>
      </c>
      <c r="I26">
        <f t="shared" si="2"/>
        <v>-7.3988880713958857E-2</v>
      </c>
      <c r="J26">
        <v>1141.33</v>
      </c>
      <c r="K26">
        <f>-136.3199</f>
        <v>-136.31989999999999</v>
      </c>
      <c r="L26">
        <f t="shared" si="4"/>
        <v>-0.11943951354998115</v>
      </c>
      <c r="M26">
        <v>359.63049999999998</v>
      </c>
      <c r="N26">
        <f>-19.21049</f>
        <v>-19.21049</v>
      </c>
      <c r="O26">
        <f t="shared" si="3"/>
        <v>-5.3417299144538632E-2</v>
      </c>
    </row>
    <row r="27" spans="1:15" x14ac:dyDescent="0.25">
      <c r="A27">
        <v>7529.63</v>
      </c>
      <c r="B27">
        <v>62.670250000000003</v>
      </c>
      <c r="C27">
        <f t="shared" si="0"/>
        <v>8.3231513367854736E-3</v>
      </c>
      <c r="D27">
        <v>585.69200000000001</v>
      </c>
      <c r="E27">
        <v>16.448</v>
      </c>
      <c r="F27">
        <f t="shared" si="1"/>
        <v>2.8083019744165875E-2</v>
      </c>
      <c r="G27">
        <v>119.1199</v>
      </c>
      <c r="H27">
        <v>3.440067</v>
      </c>
      <c r="I27">
        <f t="shared" si="2"/>
        <v>2.8879028608989766E-2</v>
      </c>
      <c r="J27">
        <v>1004.2</v>
      </c>
      <c r="K27">
        <v>68.539540000000002</v>
      </c>
      <c r="L27">
        <f t="shared" si="4"/>
        <v>6.825287791276638E-2</v>
      </c>
      <c r="M27">
        <v>339.4194</v>
      </c>
      <c r="N27">
        <v>5.0306040000000003</v>
      </c>
      <c r="O27">
        <f t="shared" si="3"/>
        <v>1.4821203502215843E-2</v>
      </c>
    </row>
    <row r="28" spans="1:15" x14ac:dyDescent="0.25">
      <c r="A28">
        <v>7554.6880000000001</v>
      </c>
      <c r="B28">
        <f>-68.20818</f>
        <v>-68.208179999999999</v>
      </c>
      <c r="C28">
        <f t="shared" si="0"/>
        <v>-9.0285899298554757E-3</v>
      </c>
      <c r="D28">
        <v>603.05600000000004</v>
      </c>
      <c r="E28">
        <f>-15.62602</f>
        <v>-15.62602</v>
      </c>
      <c r="F28">
        <f t="shared" si="1"/>
        <v>-2.5911391313576185E-2</v>
      </c>
      <c r="G28">
        <v>122.4806</v>
      </c>
      <c r="H28">
        <f>-3.130622</f>
        <v>-3.1306219999999998</v>
      </c>
      <c r="I28">
        <f t="shared" si="2"/>
        <v>-2.5560145851669571E-2</v>
      </c>
      <c r="J28">
        <v>1071.876</v>
      </c>
      <c r="K28">
        <f>-56.1959</f>
        <v>-56.195900000000002</v>
      </c>
      <c r="L28">
        <f t="shared" si="4"/>
        <v>-5.2427612895521503E-2</v>
      </c>
      <c r="M28">
        <v>343.22219999999999</v>
      </c>
      <c r="N28">
        <f>-3.9222</f>
        <v>-3.9222000000000001</v>
      </c>
      <c r="O28">
        <f t="shared" si="3"/>
        <v>-1.1427582481552767E-2</v>
      </c>
    </row>
    <row r="29" spans="1:15" x14ac:dyDescent="0.25">
      <c r="A29">
        <v>7445.1629999999996</v>
      </c>
      <c r="B29">
        <f>-83.08311</f>
        <v>-83.083110000000005</v>
      </c>
      <c r="C29">
        <f t="shared" si="0"/>
        <v>-1.115934063498677E-2</v>
      </c>
      <c r="D29">
        <v>588.10509999999999</v>
      </c>
      <c r="E29">
        <v>0.41486919999999999</v>
      </c>
      <c r="F29">
        <f t="shared" si="1"/>
        <v>7.0543377365712349E-4</v>
      </c>
      <c r="G29">
        <v>119.2795</v>
      </c>
      <c r="H29">
        <v>-0.77949089999999999</v>
      </c>
      <c r="I29">
        <f t="shared" si="2"/>
        <v>-6.5349946973285436E-3</v>
      </c>
      <c r="J29">
        <v>1014.862</v>
      </c>
      <c r="K29">
        <f>-5.661867</f>
        <v>-5.661867</v>
      </c>
      <c r="L29">
        <f t="shared" si="4"/>
        <v>-5.5789526063642148E-3</v>
      </c>
      <c r="M29">
        <v>338.3236</v>
      </c>
      <c r="N29">
        <f>-16.60358</f>
        <v>-16.603580000000001</v>
      </c>
      <c r="O29">
        <f t="shared" si="3"/>
        <v>-4.9076032532167434E-2</v>
      </c>
    </row>
    <row r="30" spans="1:15" x14ac:dyDescent="0.25">
      <c r="A30">
        <v>7303.6369999999997</v>
      </c>
      <c r="B30">
        <v>67.673100000000005</v>
      </c>
      <c r="C30">
        <f t="shared" si="0"/>
        <v>9.2656713360754379E-3</v>
      </c>
      <c r="D30">
        <v>589.45889999999997</v>
      </c>
      <c r="E30">
        <f>-16.41887</f>
        <v>-16.418869999999998</v>
      </c>
      <c r="F30">
        <f t="shared" si="1"/>
        <v>-2.7854138770319694E-2</v>
      </c>
      <c r="G30">
        <v>118.4318</v>
      </c>
      <c r="H30">
        <v>-0.50183949999999999</v>
      </c>
      <c r="I30">
        <f t="shared" si="2"/>
        <v>-4.2373712127992654E-3</v>
      </c>
      <c r="J30">
        <v>1008.3869999999999</v>
      </c>
      <c r="K30">
        <f>-11.73709</f>
        <v>-11.73709</v>
      </c>
      <c r="L30">
        <f t="shared" si="4"/>
        <v>-1.1639469767063638E-2</v>
      </c>
      <c r="M30">
        <v>320.8947</v>
      </c>
      <c r="N30">
        <f>-4.934741</f>
        <v>-4.9347409999999998</v>
      </c>
      <c r="O30">
        <f t="shared" si="3"/>
        <v>-1.5378069503796728E-2</v>
      </c>
    </row>
    <row r="31" spans="1:15" x14ac:dyDescent="0.25">
      <c r="A31">
        <v>7317.8059999999996</v>
      </c>
      <c r="B31">
        <f>-188.3454</f>
        <v>-188.34540000000001</v>
      </c>
      <c r="C31">
        <f t="shared" si="0"/>
        <v>-2.5737960257487015E-2</v>
      </c>
      <c r="D31">
        <v>574.22770000000003</v>
      </c>
      <c r="E31">
        <f>-58.07775</f>
        <v>-58.077750000000002</v>
      </c>
      <c r="F31">
        <f t="shared" si="1"/>
        <v>-0.10114062766390405</v>
      </c>
      <c r="G31">
        <v>117.8634</v>
      </c>
      <c r="H31">
        <f>-6.023415</f>
        <v>-6.023415</v>
      </c>
      <c r="I31">
        <f t="shared" si="2"/>
        <v>-5.1105050422777555E-2</v>
      </c>
      <c r="J31">
        <v>995.84720000000004</v>
      </c>
      <c r="K31">
        <f>-98.99719</f>
        <v>-98.997190000000003</v>
      </c>
      <c r="L31">
        <f t="shared" si="4"/>
        <v>-9.9410019930768492E-2</v>
      </c>
      <c r="M31">
        <v>315.41590000000002</v>
      </c>
      <c r="N31">
        <f>-27.04587</f>
        <v>-27.045870000000001</v>
      </c>
      <c r="O31">
        <f t="shared" si="3"/>
        <v>-8.5746691907414935E-2</v>
      </c>
    </row>
    <row r="32" spans="1:15" x14ac:dyDescent="0.25">
      <c r="A32">
        <v>7083.71</v>
      </c>
      <c r="B32">
        <v>386.02</v>
      </c>
      <c r="C32">
        <f t="shared" si="0"/>
        <v>5.4494043375575792E-2</v>
      </c>
      <c r="D32">
        <v>518.35919999999999</v>
      </c>
      <c r="E32">
        <v>48.470829999999999</v>
      </c>
      <c r="F32">
        <f t="shared" si="1"/>
        <v>9.3508188916102963E-2</v>
      </c>
      <c r="G32">
        <v>111.7902</v>
      </c>
      <c r="H32">
        <v>7.7497590000000001</v>
      </c>
      <c r="I32">
        <f t="shared" si="2"/>
        <v>6.9324135747140622E-2</v>
      </c>
      <c r="J32">
        <v>896.12760000000003</v>
      </c>
      <c r="K32">
        <v>93.942409999999995</v>
      </c>
      <c r="L32">
        <f t="shared" si="4"/>
        <v>0.10483151060183839</v>
      </c>
      <c r="M32">
        <v>287.26170000000002</v>
      </c>
      <c r="N32">
        <v>29.628329999999998</v>
      </c>
      <c r="O32">
        <f t="shared" si="3"/>
        <v>0.10314055093317347</v>
      </c>
    </row>
    <row r="33" spans="1:15" x14ac:dyDescent="0.25">
      <c r="A33">
        <v>7458.4319999999998</v>
      </c>
      <c r="B33">
        <f>-52.28192</f>
        <v>-52.28192</v>
      </c>
      <c r="C33">
        <f t="shared" si="0"/>
        <v>-7.0097736360672054E-3</v>
      </c>
      <c r="D33">
        <v>568.13120000000004</v>
      </c>
      <c r="E33">
        <f>-9.631145</f>
        <v>-9.6311450000000001</v>
      </c>
      <c r="F33">
        <f t="shared" si="1"/>
        <v>-1.6952325448769578E-2</v>
      </c>
      <c r="G33">
        <v>119.46899999999999</v>
      </c>
      <c r="H33">
        <f>-2.148966</f>
        <v>-2.1489660000000002</v>
      </c>
      <c r="I33">
        <f t="shared" si="2"/>
        <v>-1.7987645330587852E-2</v>
      </c>
      <c r="J33">
        <v>989.27250000000004</v>
      </c>
      <c r="K33">
        <f>-5.702496</f>
        <v>-5.702496</v>
      </c>
      <c r="L33">
        <f t="shared" si="4"/>
        <v>-5.7643328809807203E-3</v>
      </c>
      <c r="M33">
        <v>316.38369999999998</v>
      </c>
      <c r="N33">
        <f>-12.9637</f>
        <v>-12.963699999999999</v>
      </c>
      <c r="O33">
        <f t="shared" si="3"/>
        <v>-4.0974614052493856E-2</v>
      </c>
    </row>
    <row r="34" spans="1:15" x14ac:dyDescent="0.25">
      <c r="A34">
        <v>7390.9970000000003</v>
      </c>
      <c r="B34">
        <v>109.70310000000001</v>
      </c>
      <c r="C34">
        <f t="shared" si="0"/>
        <v>1.4842801316250027E-2</v>
      </c>
      <c r="D34">
        <v>559.26689999999996</v>
      </c>
      <c r="E34">
        <v>19.403079999999999</v>
      </c>
      <c r="F34">
        <f t="shared" si="1"/>
        <v>3.4693775011537427E-2</v>
      </c>
      <c r="G34">
        <v>117.2551</v>
      </c>
      <c r="H34">
        <v>0.77490020000000004</v>
      </c>
      <c r="I34">
        <f t="shared" si="2"/>
        <v>6.6086694736518931E-3</v>
      </c>
      <c r="J34">
        <v>982.77769999999998</v>
      </c>
      <c r="K34">
        <v>12.88227</v>
      </c>
      <c r="L34">
        <f t="shared" si="4"/>
        <v>1.3108020257276901E-2</v>
      </c>
      <c r="M34">
        <v>303.01190000000003</v>
      </c>
      <c r="N34">
        <v>1.9281410000000001</v>
      </c>
      <c r="O34">
        <f t="shared" si="3"/>
        <v>6.3632517402781872E-3</v>
      </c>
    </row>
    <row r="35" spans="1:15" x14ac:dyDescent="0.25">
      <c r="A35">
        <v>7493.9380000000001</v>
      </c>
      <c r="B35">
        <v>42.781999999999996</v>
      </c>
      <c r="C35">
        <f t="shared" si="0"/>
        <v>5.7088809648545256E-3</v>
      </c>
      <c r="D35">
        <v>578.40359999999998</v>
      </c>
      <c r="E35">
        <v>2.026462</v>
      </c>
      <c r="F35">
        <f t="shared" si="1"/>
        <v>3.5035432006301484E-3</v>
      </c>
      <c r="G35">
        <v>117.9631</v>
      </c>
      <c r="H35">
        <v>1.866862</v>
      </c>
      <c r="I35">
        <f t="shared" si="2"/>
        <v>1.5825813326370706E-2</v>
      </c>
      <c r="J35">
        <v>994.85799999999995</v>
      </c>
      <c r="K35">
        <v>8.4720069999999996</v>
      </c>
      <c r="L35">
        <f t="shared" si="4"/>
        <v>8.5157952190161815E-3</v>
      </c>
      <c r="M35">
        <v>304.66879999999998</v>
      </c>
      <c r="N35">
        <v>10.67121</v>
      </c>
      <c r="O35">
        <f t="shared" si="3"/>
        <v>3.5025608135785487E-2</v>
      </c>
    </row>
    <row r="36" spans="1:15" x14ac:dyDescent="0.25">
      <c r="A36">
        <v>7536.915</v>
      </c>
      <c r="B36">
        <v>95.175550000000001</v>
      </c>
      <c r="C36">
        <f t="shared" si="0"/>
        <v>1.262791871740626E-2</v>
      </c>
      <c r="D36">
        <v>580.3528</v>
      </c>
      <c r="E36">
        <v>10.90719</v>
      </c>
      <c r="F36">
        <f t="shared" si="1"/>
        <v>1.8794068022072091E-2</v>
      </c>
      <c r="G36">
        <v>119.7582</v>
      </c>
      <c r="H36">
        <v>3.5318350000000001</v>
      </c>
      <c r="I36">
        <f t="shared" si="2"/>
        <v>2.9491383471027453E-2</v>
      </c>
      <c r="J36">
        <v>1002.522</v>
      </c>
      <c r="K36">
        <v>80.608180000000004</v>
      </c>
      <c r="L36">
        <f t="shared" si="4"/>
        <v>8.0405397587284863E-2</v>
      </c>
      <c r="M36">
        <v>315.77980000000002</v>
      </c>
      <c r="N36">
        <v>6.5302410000000002</v>
      </c>
      <c r="O36">
        <f t="shared" si="3"/>
        <v>2.0679729989061996E-2</v>
      </c>
    </row>
    <row r="37" spans="1:15" x14ac:dyDescent="0.25">
      <c r="A37">
        <v>7635.5630000000001</v>
      </c>
      <c r="B37">
        <v>86.96687</v>
      </c>
      <c r="C37">
        <f t="shared" si="0"/>
        <v>1.1389712847631536E-2</v>
      </c>
      <c r="D37">
        <v>590.85429999999997</v>
      </c>
      <c r="E37">
        <v>28.585660000000001</v>
      </c>
      <c r="F37">
        <f t="shared" si="1"/>
        <v>4.8380218270392551E-2</v>
      </c>
      <c r="G37">
        <v>123.2086</v>
      </c>
      <c r="H37">
        <v>2.001395</v>
      </c>
      <c r="I37">
        <f t="shared" si="2"/>
        <v>1.624395537324505E-2</v>
      </c>
      <c r="J37">
        <v>1082.258</v>
      </c>
      <c r="K37">
        <v>88.522459999999995</v>
      </c>
      <c r="L37">
        <f t="shared" si="4"/>
        <v>8.1794230211280489E-2</v>
      </c>
      <c r="M37">
        <v>322.32769999999999</v>
      </c>
      <c r="N37">
        <v>8.4022740000000002</v>
      </c>
      <c r="O37">
        <f t="shared" si="3"/>
        <v>2.6067489700699012E-2</v>
      </c>
    </row>
    <row r="38" spans="1:15" x14ac:dyDescent="0.25">
      <c r="A38">
        <v>7740.317</v>
      </c>
      <c r="B38">
        <f>-239.4175</f>
        <v>-239.41749999999999</v>
      </c>
      <c r="C38">
        <f t="shared" si="0"/>
        <v>-3.0931226718492279E-2</v>
      </c>
      <c r="D38">
        <v>618.65750000000003</v>
      </c>
      <c r="E38">
        <f>-25.24748</f>
        <v>-25.247479999999999</v>
      </c>
      <c r="F38">
        <f t="shared" si="1"/>
        <v>-4.0810108985989822E-2</v>
      </c>
      <c r="G38">
        <v>125.1233</v>
      </c>
      <c r="H38">
        <f>-5.2233</f>
        <v>-5.2233000000000001</v>
      </c>
      <c r="I38">
        <f t="shared" si="2"/>
        <v>-4.1745222512513655E-2</v>
      </c>
      <c r="J38">
        <v>1169.837</v>
      </c>
      <c r="K38">
        <f>-59.76693</f>
        <v>-59.766930000000002</v>
      </c>
      <c r="L38">
        <f t="shared" si="4"/>
        <v>-5.1089963815471727E-2</v>
      </c>
      <c r="M38">
        <v>331.15390000000002</v>
      </c>
      <c r="N38">
        <f>-14.12386</f>
        <v>-14.123860000000001</v>
      </c>
      <c r="O38">
        <f t="shared" si="3"/>
        <v>-4.2650441380880609E-2</v>
      </c>
    </row>
    <row r="39" spans="1:15" x14ac:dyDescent="0.25">
      <c r="A39">
        <v>7494.8950000000004</v>
      </c>
      <c r="B39">
        <v>131.0753</v>
      </c>
      <c r="C39">
        <f t="shared" si="0"/>
        <v>1.7488610580935423E-2</v>
      </c>
      <c r="D39">
        <v>592.79989999999998</v>
      </c>
      <c r="E39">
        <v>17.460100000000001</v>
      </c>
      <c r="F39">
        <f t="shared" si="1"/>
        <v>2.9453614955063254E-2</v>
      </c>
      <c r="G39">
        <v>119.828</v>
      </c>
      <c r="H39">
        <v>2.0620289999999999</v>
      </c>
      <c r="I39">
        <f t="shared" si="2"/>
        <v>1.7208240144206695E-2</v>
      </c>
      <c r="J39">
        <v>1109.1759999999999</v>
      </c>
      <c r="K39">
        <v>48.154159999999997</v>
      </c>
      <c r="L39">
        <f t="shared" si="4"/>
        <v>4.3414354439692167E-2</v>
      </c>
      <c r="M39">
        <v>317.18290000000002</v>
      </c>
      <c r="N39">
        <v>0.3771041</v>
      </c>
      <c r="O39">
        <f t="shared" si="3"/>
        <v>1.1889168678387138E-3</v>
      </c>
    </row>
    <row r="40" spans="1:15" x14ac:dyDescent="0.25">
      <c r="A40">
        <v>7627.6480000000001</v>
      </c>
      <c r="B40">
        <v>23.17155</v>
      </c>
      <c r="C40">
        <f t="shared" si="0"/>
        <v>3.0378368272893559E-3</v>
      </c>
      <c r="D40">
        <v>608.72609999999997</v>
      </c>
      <c r="E40">
        <f>-1.036086</f>
        <v>-1.0360860000000001</v>
      </c>
      <c r="F40">
        <f t="shared" si="1"/>
        <v>-1.7020561464343325E-3</v>
      </c>
      <c r="G40">
        <v>121.8125</v>
      </c>
      <c r="H40">
        <v>-0.47247289999999997</v>
      </c>
      <c r="I40">
        <f t="shared" si="2"/>
        <v>-3.8786897896357104E-3</v>
      </c>
      <c r="J40">
        <v>1156.3979999999999</v>
      </c>
      <c r="K40">
        <f>-21.24777</f>
        <v>-21.247769999999999</v>
      </c>
      <c r="L40">
        <f t="shared" si="4"/>
        <v>-1.8374097845205543E-2</v>
      </c>
      <c r="M40">
        <v>317.52350000000001</v>
      </c>
      <c r="N40">
        <f>-3.123478</f>
        <v>-3.123478</v>
      </c>
      <c r="O40">
        <f t="shared" si="3"/>
        <v>-9.8369978914946456E-3</v>
      </c>
    </row>
    <row r="41" spans="1:15" x14ac:dyDescent="0.25">
      <c r="A41">
        <v>7649.2330000000002</v>
      </c>
      <c r="B41">
        <v>35.907299999999999</v>
      </c>
      <c r="C41">
        <f t="shared" si="0"/>
        <v>4.6942353566690933E-3</v>
      </c>
      <c r="D41">
        <v>606.80679999999995</v>
      </c>
      <c r="E41">
        <f>-1.366846</f>
        <v>-1.366846</v>
      </c>
      <c r="F41">
        <f t="shared" si="1"/>
        <v>-2.25252254918699E-3</v>
      </c>
      <c r="G41">
        <v>121.264</v>
      </c>
      <c r="H41">
        <v>0.2560075</v>
      </c>
      <c r="I41">
        <f t="shared" si="2"/>
        <v>2.1111582992479221E-3</v>
      </c>
      <c r="J41">
        <v>1134.2360000000001</v>
      </c>
      <c r="K41">
        <v>11.104369999999999</v>
      </c>
      <c r="L41">
        <f t="shared" si="4"/>
        <v>9.7901759422201369E-3</v>
      </c>
      <c r="M41">
        <v>314.17450000000002</v>
      </c>
      <c r="N41">
        <f>-1.534462</f>
        <v>-1.534462</v>
      </c>
      <c r="O41">
        <f t="shared" si="3"/>
        <v>-4.8841073989136603E-3</v>
      </c>
    </row>
    <row r="42" spans="1:15" x14ac:dyDescent="0.25">
      <c r="A42">
        <v>7683.2709999999997</v>
      </c>
      <c r="B42">
        <f>-50.75054</f>
        <v>-50.750540000000001</v>
      </c>
      <c r="C42">
        <f t="shared" si="0"/>
        <v>-6.6053299434576758E-3</v>
      </c>
      <c r="D42">
        <v>604.48689999999999</v>
      </c>
      <c r="E42">
        <f>-3.576877</f>
        <v>-3.5768770000000001</v>
      </c>
      <c r="F42">
        <f t="shared" si="1"/>
        <v>-5.917211770842346E-3</v>
      </c>
      <c r="G42">
        <v>121.4435</v>
      </c>
      <c r="H42">
        <f>-1.333495</f>
        <v>-1.3334950000000001</v>
      </c>
      <c r="I42">
        <f t="shared" si="2"/>
        <v>-1.0980373589364602E-2</v>
      </c>
      <c r="J42">
        <v>1144.4169999999999</v>
      </c>
      <c r="K42">
        <f>-27.06742</f>
        <v>-27.067419999999998</v>
      </c>
      <c r="L42">
        <f t="shared" si="4"/>
        <v>-2.3651710871124772E-2</v>
      </c>
      <c r="M42">
        <v>312.22239999999999</v>
      </c>
      <c r="N42">
        <f>-1.722452</f>
        <v>-1.7224520000000001</v>
      </c>
      <c r="O42">
        <f t="shared" si="3"/>
        <v>-5.5167470367276667E-3</v>
      </c>
    </row>
    <row r="43" spans="1:15" x14ac:dyDescent="0.25">
      <c r="A43">
        <v>7624.35</v>
      </c>
      <c r="B43">
        <f>-124.7996</f>
        <v>-124.7996</v>
      </c>
      <c r="C43">
        <f t="shared" si="0"/>
        <v>-1.6368556008053144E-2</v>
      </c>
      <c r="D43">
        <v>600.26440000000002</v>
      </c>
      <c r="E43">
        <f>-5.924421</f>
        <v>-5.9244209999999997</v>
      </c>
      <c r="F43">
        <f t="shared" si="1"/>
        <v>-9.8696857584757644E-3</v>
      </c>
      <c r="G43">
        <v>120.03740000000001</v>
      </c>
      <c r="H43">
        <f>-2.477391</f>
        <v>-2.4773909999999999</v>
      </c>
      <c r="I43">
        <f t="shared" si="2"/>
        <v>-2.0638492669784583E-2</v>
      </c>
      <c r="J43">
        <v>1116.45</v>
      </c>
      <c r="K43">
        <f>-28.98997</f>
        <v>-28.98997</v>
      </c>
      <c r="L43">
        <f t="shared" si="4"/>
        <v>-2.5966205383134041E-2</v>
      </c>
      <c r="M43">
        <v>310.30650000000003</v>
      </c>
      <c r="N43">
        <f>-10.80651</f>
        <v>-10.806509999999999</v>
      </c>
      <c r="O43">
        <f t="shared" si="3"/>
        <v>-3.4825277588448833E-2</v>
      </c>
    </row>
    <row r="44" spans="1:15" x14ac:dyDescent="0.25">
      <c r="A44">
        <v>7482.1890000000003</v>
      </c>
      <c r="B44">
        <f>-682.899</f>
        <v>-682.899</v>
      </c>
      <c r="C44">
        <f t="shared" si="0"/>
        <v>-9.1269947872206908E-2</v>
      </c>
      <c r="D44">
        <v>593.80669999999998</v>
      </c>
      <c r="E44">
        <f>-68.94673</f>
        <v>-68.946730000000002</v>
      </c>
      <c r="F44">
        <f t="shared" si="1"/>
        <v>-0.11610972055384354</v>
      </c>
      <c r="G44">
        <v>117.4944</v>
      </c>
      <c r="H44">
        <f>-10.95444</f>
        <v>-10.95444</v>
      </c>
      <c r="I44">
        <f t="shared" si="2"/>
        <v>-9.3233720075169543E-2</v>
      </c>
      <c r="J44">
        <v>1086.5840000000001</v>
      </c>
      <c r="K44">
        <f>-148.954</f>
        <v>-148.95400000000001</v>
      </c>
      <c r="L44">
        <f t="shared" si="4"/>
        <v>-0.1370846616552425</v>
      </c>
      <c r="M44">
        <v>299.10210000000001</v>
      </c>
      <c r="N44">
        <f>-25.28215</f>
        <v>-25.282150000000001</v>
      </c>
      <c r="O44">
        <f t="shared" si="3"/>
        <v>-8.4526822111914299E-2</v>
      </c>
    </row>
    <row r="45" spans="1:15" x14ac:dyDescent="0.25">
      <c r="A45">
        <v>6764.7340000000004</v>
      </c>
      <c r="B45">
        <v>141.08539999999999</v>
      </c>
      <c r="C45">
        <f t="shared" si="0"/>
        <v>2.0856015920212086E-2</v>
      </c>
      <c r="D45">
        <v>525.41999999999996</v>
      </c>
      <c r="E45">
        <v>7.2900090000000004</v>
      </c>
      <c r="F45">
        <f t="shared" si="1"/>
        <v>1.3874631723192875E-2</v>
      </c>
      <c r="G45">
        <v>106.50490000000001</v>
      </c>
      <c r="H45">
        <v>0.92511500000000002</v>
      </c>
      <c r="I45">
        <f t="shared" si="2"/>
        <v>8.6861261782321744E-3</v>
      </c>
      <c r="J45">
        <v>936.87480000000005</v>
      </c>
      <c r="K45">
        <v>20.265260000000001</v>
      </c>
      <c r="L45">
        <f t="shared" si="4"/>
        <v>2.1630702416160622E-2</v>
      </c>
      <c r="M45">
        <v>273.02910000000003</v>
      </c>
      <c r="N45">
        <f>-2.779104</f>
        <v>-2.7791039999999998</v>
      </c>
      <c r="O45">
        <f t="shared" si="3"/>
        <v>-1.0178783140698188E-2</v>
      </c>
    </row>
    <row r="46" spans="1:15" x14ac:dyDescent="0.25">
      <c r="A46">
        <v>6869.7960000000003</v>
      </c>
      <c r="B46">
        <f>-272.9157</f>
        <v>-272.91570000000002</v>
      </c>
      <c r="C46">
        <f t="shared" si="0"/>
        <v>-3.9726900187429144E-2</v>
      </c>
      <c r="D46">
        <v>533.50340000000006</v>
      </c>
      <c r="E46">
        <f>-35.48339</f>
        <v>-35.48339</v>
      </c>
      <c r="F46">
        <f t="shared" si="1"/>
        <v>-6.6510147826611785E-2</v>
      </c>
      <c r="G46">
        <v>107.39239999999999</v>
      </c>
      <c r="H46">
        <f>-6.592426</f>
        <v>-6.5924259999999997</v>
      </c>
      <c r="I46">
        <f t="shared" si="2"/>
        <v>-6.1386336463287908E-2</v>
      </c>
      <c r="J46">
        <v>956.36900000000003</v>
      </c>
      <c r="K46">
        <f>-79.47902</f>
        <v>-79.479020000000006</v>
      </c>
      <c r="L46">
        <f t="shared" si="4"/>
        <v>-8.3104973080474168E-2</v>
      </c>
      <c r="M46">
        <v>269.42970000000003</v>
      </c>
      <c r="N46">
        <f>-7.649705</f>
        <v>-7.649705</v>
      </c>
      <c r="O46">
        <f t="shared" si="3"/>
        <v>-2.8392211400599113E-2</v>
      </c>
    </row>
    <row r="47" spans="1:15" x14ac:dyDescent="0.25">
      <c r="A47">
        <v>6547.7870000000003</v>
      </c>
      <c r="B47">
        <f>-205.0368</f>
        <v>-205.0368</v>
      </c>
      <c r="C47">
        <f t="shared" si="0"/>
        <v>-3.1313908042518789E-2</v>
      </c>
      <c r="D47">
        <v>498.9776</v>
      </c>
      <c r="E47">
        <f>-20.59763</f>
        <v>-20.597629999999999</v>
      </c>
      <c r="F47">
        <f t="shared" si="1"/>
        <v>-4.1279668666489237E-2</v>
      </c>
      <c r="G47">
        <v>100.7807</v>
      </c>
      <c r="H47">
        <f>-6.790745</f>
        <v>-6.7907450000000003</v>
      </c>
      <c r="I47">
        <f t="shared" si="2"/>
        <v>-6.7381403383782817E-2</v>
      </c>
      <c r="J47">
        <v>876.18370000000004</v>
      </c>
      <c r="K47">
        <f>-31.82366</f>
        <v>-31.82366</v>
      </c>
      <c r="L47">
        <f t="shared" si="4"/>
        <v>-3.6320762415461505E-2</v>
      </c>
      <c r="M47">
        <v>260.851</v>
      </c>
      <c r="N47">
        <f>-14.94105</f>
        <v>-14.941050000000001</v>
      </c>
      <c r="O47">
        <f t="shared" si="3"/>
        <v>-5.727810129154192E-2</v>
      </c>
    </row>
    <row r="48" spans="1:15" x14ac:dyDescent="0.25">
      <c r="A48">
        <v>6282.2860000000001</v>
      </c>
      <c r="B48">
        <v>391.79410000000001</v>
      </c>
      <c r="C48">
        <f t="shared" si="0"/>
        <v>6.2364893925555123E-2</v>
      </c>
      <c r="D48">
        <v>479.81400000000002</v>
      </c>
      <c r="E48">
        <v>40.665959999999998</v>
      </c>
      <c r="F48">
        <f t="shared" si="1"/>
        <v>8.4753592016906548E-2</v>
      </c>
      <c r="G48">
        <v>93.989559999999997</v>
      </c>
      <c r="H48">
        <v>7.1204390000000002</v>
      </c>
      <c r="I48">
        <f t="shared" si="2"/>
        <v>7.5757765011348066E-2</v>
      </c>
      <c r="J48">
        <v>843.67989999999998</v>
      </c>
      <c r="K48">
        <v>52.750129999999999</v>
      </c>
      <c r="L48">
        <f t="shared" si="4"/>
        <v>6.2523867168104874E-2</v>
      </c>
      <c r="M48">
        <v>244.9111</v>
      </c>
      <c r="N48">
        <v>23.358930000000001</v>
      </c>
      <c r="O48">
        <f t="shared" si="3"/>
        <v>9.5377179719498217E-2</v>
      </c>
    </row>
    <row r="49" spans="1:15" x14ac:dyDescent="0.25">
      <c r="A49">
        <v>6628.7929999999997</v>
      </c>
      <c r="B49">
        <f>-173.3431</f>
        <v>-173.34309999999999</v>
      </c>
      <c r="C49">
        <f t="shared" si="0"/>
        <v>-2.6150024597238138E-2</v>
      </c>
      <c r="D49">
        <v>521.29999999999995</v>
      </c>
      <c r="E49">
        <f>-30.89006</f>
        <v>-30.890059999999998</v>
      </c>
      <c r="F49">
        <f t="shared" si="1"/>
        <v>-5.9255821983502786E-2</v>
      </c>
      <c r="G49">
        <v>101.0899</v>
      </c>
      <c r="H49">
        <f>-4.509888</f>
        <v>-4.5098880000000001</v>
      </c>
      <c r="I49">
        <f t="shared" si="2"/>
        <v>-4.4612646762930822E-2</v>
      </c>
      <c r="J49">
        <v>895.7079</v>
      </c>
      <c r="K49">
        <f>-48.54792</f>
        <v>-48.547919999999998</v>
      </c>
      <c r="L49">
        <f t="shared" si="4"/>
        <v>-5.420061607137773E-2</v>
      </c>
      <c r="M49">
        <v>268.1567</v>
      </c>
      <c r="N49">
        <f>-10.91671</f>
        <v>-10.91671</v>
      </c>
      <c r="O49">
        <f t="shared" si="3"/>
        <v>-4.0710189228909816E-2</v>
      </c>
    </row>
    <row r="50" spans="1:15" x14ac:dyDescent="0.25">
      <c r="A50">
        <v>6407.6459999999997</v>
      </c>
      <c r="B50">
        <v>137.8837</v>
      </c>
      <c r="C50">
        <f t="shared" si="0"/>
        <v>2.1518620098551013E-2</v>
      </c>
      <c r="D50">
        <v>491.61900000000003</v>
      </c>
      <c r="E50">
        <v>7.8409990000000001</v>
      </c>
      <c r="F50">
        <f t="shared" si="1"/>
        <v>1.5949340851350333E-2</v>
      </c>
      <c r="G50">
        <v>96.572400000000002</v>
      </c>
      <c r="H50">
        <v>1.1475949999999999</v>
      </c>
      <c r="I50">
        <f t="shared" si="2"/>
        <v>1.1883260641756857E-2</v>
      </c>
      <c r="J50">
        <v>846.47760000000005</v>
      </c>
      <c r="K50">
        <v>6.5823900000000002</v>
      </c>
      <c r="L50">
        <f t="shared" si="4"/>
        <v>7.7762128613917247E-3</v>
      </c>
      <c r="M50">
        <v>257.00020000000001</v>
      </c>
      <c r="N50">
        <v>9.5998149999999995</v>
      </c>
      <c r="O50">
        <f t="shared" si="3"/>
        <v>3.7353336690010355E-2</v>
      </c>
    </row>
    <row r="51" spans="1:15" x14ac:dyDescent="0.25">
      <c r="A51">
        <v>6532.5230000000001</v>
      </c>
      <c r="B51">
        <f>-22.45348</f>
        <v>-22.453479999999999</v>
      </c>
      <c r="C51">
        <f t="shared" si="0"/>
        <v>-3.437183458825939E-3</v>
      </c>
      <c r="D51">
        <v>500.48869999999999</v>
      </c>
      <c r="E51">
        <f>-1.108736</f>
        <v>-1.1087359999999999</v>
      </c>
      <c r="F51">
        <f t="shared" si="1"/>
        <v>-2.2153067591735836E-3</v>
      </c>
      <c r="G51">
        <v>97.709249999999997</v>
      </c>
      <c r="H51">
        <f>-1.939255</f>
        <v>-1.939255</v>
      </c>
      <c r="I51">
        <f t="shared" si="2"/>
        <v>-1.9847199727763748E-2</v>
      </c>
      <c r="J51">
        <v>852.37289999999996</v>
      </c>
      <c r="K51">
        <f>-2.562858</f>
        <v>-2.5628579999999999</v>
      </c>
      <c r="L51">
        <f t="shared" si="4"/>
        <v>-3.0067333205924308E-3</v>
      </c>
      <c r="M51">
        <v>266.68729999999999</v>
      </c>
      <c r="N51">
        <f>-1.937347</f>
        <v>-1.9373469999999999</v>
      </c>
      <c r="O51">
        <f t="shared" si="3"/>
        <v>-7.2644891601512333E-3</v>
      </c>
    </row>
    <row r="52" spans="1:15" x14ac:dyDescent="0.25">
      <c r="A52">
        <v>6490.9279999999999</v>
      </c>
      <c r="B52">
        <v>251.4623</v>
      </c>
      <c r="C52">
        <f t="shared" si="0"/>
        <v>3.8740577618485372E-2</v>
      </c>
      <c r="D52">
        <v>500.33010000000002</v>
      </c>
      <c r="E52">
        <v>18.689910000000001</v>
      </c>
      <c r="F52">
        <f t="shared" si="1"/>
        <v>3.7355158124606137E-2</v>
      </c>
      <c r="G52">
        <v>95.76464</v>
      </c>
      <c r="H52">
        <v>2.965357</v>
      </c>
      <c r="I52">
        <f t="shared" si="2"/>
        <v>3.0965051401018164E-2</v>
      </c>
      <c r="J52">
        <v>849.12549999999999</v>
      </c>
      <c r="K52">
        <v>36.864519999999999</v>
      </c>
      <c r="L52">
        <f t="shared" si="4"/>
        <v>4.3414689583577457E-2</v>
      </c>
      <c r="M52">
        <v>265.108</v>
      </c>
      <c r="N52">
        <v>0.27199410000000002</v>
      </c>
      <c r="O52">
        <f t="shared" si="3"/>
        <v>1.0259746971045763E-3</v>
      </c>
    </row>
    <row r="53" spans="1:15" x14ac:dyDescent="0.25">
      <c r="A53">
        <v>6746.0529999999999</v>
      </c>
      <c r="B53">
        <v>24.706579999999999</v>
      </c>
      <c r="C53">
        <f t="shared" si="0"/>
        <v>3.6623756143036529E-3</v>
      </c>
      <c r="D53">
        <v>518.85490000000004</v>
      </c>
      <c r="E53">
        <v>19.655169999999998</v>
      </c>
      <c r="F53">
        <f t="shared" si="1"/>
        <v>3.7881823993567369E-2</v>
      </c>
      <c r="G53">
        <v>98.716459999999998</v>
      </c>
      <c r="H53">
        <v>0.2435359</v>
      </c>
      <c r="I53">
        <f t="shared" si="2"/>
        <v>2.4670242429681941E-3</v>
      </c>
      <c r="J53">
        <v>885.27629999999999</v>
      </c>
      <c r="K53">
        <v>20.433669999999999</v>
      </c>
      <c r="L53">
        <f t="shared" si="4"/>
        <v>2.3081686474606854E-2</v>
      </c>
      <c r="M53">
        <v>265.32170000000002</v>
      </c>
      <c r="N53">
        <f>-2.921761</f>
        <v>-2.9217610000000001</v>
      </c>
      <c r="O53">
        <f t="shared" si="3"/>
        <v>-1.1012144879216437E-2</v>
      </c>
    </row>
    <row r="54" spans="1:15" x14ac:dyDescent="0.25">
      <c r="A54">
        <v>6786.884</v>
      </c>
      <c r="B54">
        <f>-6.794356</f>
        <v>-6.7943559999999996</v>
      </c>
      <c r="C54">
        <f t="shared" si="0"/>
        <v>-1.0011009470620095E-3</v>
      </c>
      <c r="D54">
        <v>538.1703</v>
      </c>
      <c r="E54">
        <f>-1.720322</f>
        <v>-1.7203219999999999</v>
      </c>
      <c r="F54">
        <f t="shared" si="1"/>
        <v>-3.196612670747531E-3</v>
      </c>
      <c r="G54">
        <v>98.945830000000001</v>
      </c>
      <c r="H54">
        <f>-1.065829</f>
        <v>-1.0658289999999999</v>
      </c>
      <c r="I54">
        <f t="shared" si="2"/>
        <v>-1.0771843543078065E-2</v>
      </c>
      <c r="J54">
        <v>904.98050000000001</v>
      </c>
      <c r="K54">
        <f>-14.34045</f>
        <v>-14.340450000000001</v>
      </c>
      <c r="L54">
        <f t="shared" si="4"/>
        <v>-1.5846142541192876E-2</v>
      </c>
      <c r="M54">
        <v>262.5</v>
      </c>
      <c r="N54">
        <v>3.020041</v>
      </c>
      <c r="O54">
        <f t="shared" si="3"/>
        <v>1.1504918095238095E-2</v>
      </c>
    </row>
    <row r="55" spans="1:15" x14ac:dyDescent="0.25">
      <c r="A55">
        <v>6781.7610000000004</v>
      </c>
      <c r="B55">
        <f>-43.88081</f>
        <v>-43.880809999999997</v>
      </c>
      <c r="C55">
        <f t="shared" si="0"/>
        <v>-6.4704152800430436E-3</v>
      </c>
      <c r="D55">
        <v>535.71780000000001</v>
      </c>
      <c r="E55">
        <f>-8.527751</f>
        <v>-8.5277510000000003</v>
      </c>
      <c r="F55">
        <f t="shared" si="1"/>
        <v>-1.5918364108864779E-2</v>
      </c>
      <c r="G55">
        <v>97.868809999999996</v>
      </c>
      <c r="H55">
        <v>-0.92881270000000005</v>
      </c>
      <c r="I55">
        <f t="shared" si="2"/>
        <v>-9.4903851390448091E-3</v>
      </c>
      <c r="J55">
        <v>889.92259999999999</v>
      </c>
      <c r="K55">
        <f>-14.95259</f>
        <v>-14.952590000000001</v>
      </c>
      <c r="L55">
        <f t="shared" si="4"/>
        <v>-1.6802124139784741E-2</v>
      </c>
      <c r="M55">
        <v>265.49619999999999</v>
      </c>
      <c r="N55">
        <f>-4.606152</f>
        <v>-4.6061519999999998</v>
      </c>
      <c r="O55">
        <f t="shared" si="3"/>
        <v>-1.7349220064166643E-2</v>
      </c>
    </row>
    <row r="56" spans="1:15" x14ac:dyDescent="0.25">
      <c r="A56">
        <v>6747.692</v>
      </c>
      <c r="B56">
        <f>-657.5926</f>
        <v>-657.59259999999995</v>
      </c>
      <c r="C56">
        <f t="shared" si="0"/>
        <v>-9.7454448128337798E-2</v>
      </c>
      <c r="D56">
        <v>526.34749999999997</v>
      </c>
      <c r="E56">
        <f>-60.07753</f>
        <v>-60.077530000000003</v>
      </c>
      <c r="F56">
        <f t="shared" si="1"/>
        <v>-0.11414043003909016</v>
      </c>
      <c r="G56">
        <v>96.93141</v>
      </c>
      <c r="H56">
        <f>-11.84141</f>
        <v>-11.84141</v>
      </c>
      <c r="I56">
        <f t="shared" si="2"/>
        <v>-0.12216277468779212</v>
      </c>
      <c r="J56">
        <v>874.26520000000005</v>
      </c>
      <c r="K56">
        <f>-119.0252</f>
        <v>-119.0252</v>
      </c>
      <c r="L56">
        <f t="shared" si="4"/>
        <v>-0.13614312911002291</v>
      </c>
      <c r="M56">
        <v>260.81979999999999</v>
      </c>
      <c r="N56">
        <f>-23.99976</f>
        <v>-23.999759999999998</v>
      </c>
      <c r="O56">
        <f t="shared" si="3"/>
        <v>-9.2016633706490075E-2</v>
      </c>
    </row>
    <row r="57" spans="1:15" x14ac:dyDescent="0.25">
      <c r="A57">
        <v>6070.8119999999999</v>
      </c>
      <c r="B57">
        <v>93.468019999999996</v>
      </c>
      <c r="C57">
        <f t="shared" si="0"/>
        <v>1.5396296245049261E-2</v>
      </c>
      <c r="D57">
        <v>466.78190000000001</v>
      </c>
      <c r="E57">
        <v>7.9881279999999997</v>
      </c>
      <c r="F57">
        <f t="shared" si="1"/>
        <v>1.7113191406950438E-2</v>
      </c>
      <c r="G57">
        <v>85.114149999999995</v>
      </c>
      <c r="H57">
        <f>-2.374151</f>
        <v>-2.3741509999999999</v>
      </c>
      <c r="I57">
        <f t="shared" si="2"/>
        <v>-2.7893728598593771E-2</v>
      </c>
      <c r="J57">
        <v>754.63170000000002</v>
      </c>
      <c r="K57">
        <v>9.9883480000000002</v>
      </c>
      <c r="L57">
        <f t="shared" si="4"/>
        <v>1.3236056741321627E-2</v>
      </c>
      <c r="M57">
        <v>236.31270000000001</v>
      </c>
      <c r="N57">
        <v>6.6173010000000003</v>
      </c>
      <c r="O57">
        <f t="shared" si="3"/>
        <v>2.8002307958903606E-2</v>
      </c>
    </row>
    <row r="58" spans="1:15" x14ac:dyDescent="0.25">
      <c r="A58">
        <v>6149.4489999999996</v>
      </c>
      <c r="B58">
        <v>22.5213</v>
      </c>
      <c r="C58">
        <f t="shared" si="0"/>
        <v>3.6623281207796019E-3</v>
      </c>
      <c r="D58">
        <v>474.79919999999998</v>
      </c>
      <c r="E58">
        <f>-18.8592</f>
        <v>-18.859200000000001</v>
      </c>
      <c r="F58">
        <f t="shared" si="1"/>
        <v>-3.9720370211238774E-2</v>
      </c>
      <c r="G58">
        <v>82.770650000000003</v>
      </c>
      <c r="H58">
        <f>-2.400645</f>
        <v>-2.4006449999999999</v>
      </c>
      <c r="I58">
        <f t="shared" si="2"/>
        <v>-2.9003577959095403E-2</v>
      </c>
      <c r="J58">
        <v>764.00409999999999</v>
      </c>
      <c r="K58">
        <f>-15.3741</f>
        <v>-15.3741</v>
      </c>
      <c r="L58">
        <f t="shared" si="4"/>
        <v>-2.012305954902598E-2</v>
      </c>
      <c r="M58">
        <v>242.58750000000001</v>
      </c>
      <c r="N58">
        <f>-4.967543</f>
        <v>-4.967543</v>
      </c>
      <c r="O58">
        <f t="shared" si="3"/>
        <v>-2.0477324676663061E-2</v>
      </c>
    </row>
    <row r="59" spans="1:15" x14ac:dyDescent="0.25">
      <c r="A59">
        <v>6147.049</v>
      </c>
      <c r="B59">
        <v>106.5013</v>
      </c>
      <c r="C59">
        <f t="shared" si="0"/>
        <v>1.7325598022726027E-2</v>
      </c>
      <c r="D59">
        <v>456.33969999999999</v>
      </c>
      <c r="E59">
        <v>4.3902850000000004</v>
      </c>
      <c r="F59">
        <f t="shared" si="1"/>
        <v>9.6206510194050635E-3</v>
      </c>
      <c r="G59">
        <v>80.407200000000003</v>
      </c>
      <c r="H59">
        <v>1.4128069999999999</v>
      </c>
      <c r="I59">
        <f t="shared" si="2"/>
        <v>1.7570652876856798E-2</v>
      </c>
      <c r="J59">
        <v>748.02700000000004</v>
      </c>
      <c r="K59">
        <v>9.2230229999999995</v>
      </c>
      <c r="L59">
        <f t="shared" si="4"/>
        <v>1.2329799592795445E-2</v>
      </c>
      <c r="M59">
        <v>237.1241</v>
      </c>
      <c r="N59">
        <v>4.0958509999999997</v>
      </c>
      <c r="O59">
        <f t="shared" si="3"/>
        <v>1.7273027077382687E-2</v>
      </c>
    </row>
    <row r="60" spans="1:15" x14ac:dyDescent="0.25">
      <c r="A60">
        <v>6230.518</v>
      </c>
      <c r="B60">
        <f>-146.1178</f>
        <v>-146.11779999999999</v>
      </c>
      <c r="C60">
        <f t="shared" si="0"/>
        <v>-2.3451950544079961E-2</v>
      </c>
      <c r="D60">
        <v>461.06240000000003</v>
      </c>
      <c r="E60">
        <f>-28.82244</f>
        <v>-28.82244</v>
      </c>
      <c r="F60">
        <f t="shared" si="1"/>
        <v>-6.2513100179064696E-2</v>
      </c>
      <c r="G60">
        <v>81.853189999999998</v>
      </c>
      <c r="H60">
        <f>-4.923187</f>
        <v>-4.9231870000000004</v>
      </c>
      <c r="I60">
        <f t="shared" si="2"/>
        <v>-6.0146550183322121E-2</v>
      </c>
      <c r="J60">
        <v>756.64</v>
      </c>
      <c r="K60">
        <f>-58.36003</f>
        <v>-58.360030000000002</v>
      </c>
      <c r="L60">
        <f t="shared" si="4"/>
        <v>-7.7130511207443436E-2</v>
      </c>
      <c r="M60">
        <v>240.87620000000001</v>
      </c>
      <c r="N60">
        <f>-8.956209</f>
        <v>-8.9562089999999994</v>
      </c>
      <c r="O60">
        <f t="shared" si="3"/>
        <v>-3.7181792970828992E-2</v>
      </c>
    </row>
    <row r="61" spans="1:15" x14ac:dyDescent="0.25">
      <c r="A61">
        <v>6054.4030000000002</v>
      </c>
      <c r="B61">
        <v>98.756460000000004</v>
      </c>
      <c r="C61">
        <f t="shared" si="0"/>
        <v>1.6311510812874533E-2</v>
      </c>
      <c r="D61">
        <v>433.20519999999999</v>
      </c>
      <c r="E61">
        <v>9.0847800000000003</v>
      </c>
      <c r="F61">
        <f t="shared" si="1"/>
        <v>2.097107790949878E-2</v>
      </c>
      <c r="G61">
        <v>76.976699999999994</v>
      </c>
      <c r="H61">
        <v>3.653302</v>
      </c>
      <c r="I61">
        <f t="shared" si="2"/>
        <v>4.7459841744320039E-2</v>
      </c>
      <c r="J61">
        <v>697.71749999999997</v>
      </c>
      <c r="K61">
        <v>16.982469999999999</v>
      </c>
      <c r="L61">
        <f t="shared" si="4"/>
        <v>2.4340037336027832E-2</v>
      </c>
      <c r="M61">
        <v>231.87200000000001</v>
      </c>
      <c r="N61">
        <f>-2.552047</f>
        <v>-2.552047</v>
      </c>
      <c r="O61">
        <f t="shared" si="3"/>
        <v>-1.1006275013800717E-2</v>
      </c>
    </row>
    <row r="62" spans="1:15" x14ac:dyDescent="0.25">
      <c r="A62">
        <v>6127.7120000000004</v>
      </c>
      <c r="B62">
        <f>-229.5823</f>
        <v>-229.5823</v>
      </c>
      <c r="C62">
        <f t="shared" si="0"/>
        <v>-3.7466235358319708E-2</v>
      </c>
      <c r="D62">
        <v>443.35270000000003</v>
      </c>
      <c r="E62">
        <f>-20.76268</f>
        <v>-20.76268</v>
      </c>
      <c r="F62">
        <f t="shared" si="1"/>
        <v>-4.6831067003764722E-2</v>
      </c>
      <c r="G62">
        <v>80.666470000000004</v>
      </c>
      <c r="H62">
        <f>-5.856474</f>
        <v>-5.8564740000000004</v>
      </c>
      <c r="I62">
        <f t="shared" si="2"/>
        <v>-7.2601094358039964E-2</v>
      </c>
      <c r="J62">
        <v>714.12429999999995</v>
      </c>
      <c r="K62">
        <f>-51.12431</f>
        <v>-51.124310000000001</v>
      </c>
      <c r="L62">
        <f t="shared" si="4"/>
        <v>-7.1590211956097841E-2</v>
      </c>
      <c r="M62">
        <v>229.10939999999999</v>
      </c>
      <c r="N62">
        <f>-9.619356</f>
        <v>-9.6193559999999998</v>
      </c>
      <c r="O62">
        <f t="shared" si="3"/>
        <v>-4.1985863521968106E-2</v>
      </c>
    </row>
    <row r="63" spans="1:15" x14ac:dyDescent="0.25">
      <c r="A63">
        <v>5891.7749999999996</v>
      </c>
      <c r="B63">
        <v>322.44490000000002</v>
      </c>
      <c r="C63">
        <f t="shared" si="0"/>
        <v>5.4727972470096031E-2</v>
      </c>
      <c r="D63">
        <v>423.90039999999999</v>
      </c>
      <c r="E63">
        <v>12.309620000000001</v>
      </c>
      <c r="F63">
        <f t="shared" si="1"/>
        <v>2.9038944053839066E-2</v>
      </c>
      <c r="G63">
        <v>74.862560000000002</v>
      </c>
      <c r="H63">
        <v>4.0874449999999998</v>
      </c>
      <c r="I63">
        <f t="shared" si="2"/>
        <v>5.4599321743739458E-2</v>
      </c>
      <c r="J63">
        <v>662.46590000000003</v>
      </c>
      <c r="K63">
        <v>54.57405</v>
      </c>
      <c r="L63">
        <f t="shared" si="4"/>
        <v>8.2380164775273712E-2</v>
      </c>
      <c r="M63">
        <v>219.2073</v>
      </c>
      <c r="N63">
        <v>15.25273</v>
      </c>
      <c r="O63">
        <f t="shared" si="3"/>
        <v>6.958130500216006E-2</v>
      </c>
    </row>
    <row r="64" spans="1:15" x14ac:dyDescent="0.25">
      <c r="A64">
        <v>6216.7830000000004</v>
      </c>
      <c r="B64">
        <v>194.89709999999999</v>
      </c>
      <c r="C64">
        <f t="shared" si="0"/>
        <v>3.1350153286675758E-2</v>
      </c>
      <c r="D64">
        <v>437.21949999999998</v>
      </c>
      <c r="E64">
        <v>18.02056</v>
      </c>
      <c r="F64">
        <f t="shared" si="1"/>
        <v>4.1216276950136028E-2</v>
      </c>
      <c r="G64">
        <v>78.991119999999995</v>
      </c>
      <c r="H64">
        <v>2.5088840000000001</v>
      </c>
      <c r="I64">
        <f t="shared" si="2"/>
        <v>3.1761595480605927E-2</v>
      </c>
      <c r="J64">
        <v>716.4624</v>
      </c>
      <c r="K64">
        <v>32.717579999999998</v>
      </c>
      <c r="L64">
        <f t="shared" si="4"/>
        <v>4.5665452925373329E-2</v>
      </c>
      <c r="M64">
        <v>234.37280000000001</v>
      </c>
      <c r="N64" s="10">
        <v>4.7671999999999999</v>
      </c>
      <c r="O64">
        <f t="shared" si="3"/>
        <v>2.0340244260426122E-2</v>
      </c>
    </row>
    <row r="65" spans="1:15" x14ac:dyDescent="0.25">
      <c r="A65">
        <v>6421.5420000000004</v>
      </c>
      <c r="B65">
        <f>-41.1619</f>
        <v>-41.161900000000003</v>
      </c>
      <c r="C65">
        <f t="shared" si="0"/>
        <v>-6.4099713121863874E-3</v>
      </c>
      <c r="D65">
        <v>455.24650000000003</v>
      </c>
      <c r="E65">
        <f>-1.426525</f>
        <v>-1.426525</v>
      </c>
      <c r="F65">
        <f t="shared" si="1"/>
        <v>-3.1335221687591227E-3</v>
      </c>
      <c r="G65">
        <v>81.53407</v>
      </c>
      <c r="H65">
        <f>-1.264071</f>
        <v>-1.2640709999999999</v>
      </c>
      <c r="I65">
        <f t="shared" si="2"/>
        <v>-1.5503592547262758E-2</v>
      </c>
      <c r="J65">
        <v>748.57650000000001</v>
      </c>
      <c r="K65">
        <f>-9.326533</f>
        <v>-9.3265329999999995</v>
      </c>
      <c r="L65">
        <f t="shared" si="4"/>
        <v>-1.2459024561951918E-2</v>
      </c>
      <c r="M65">
        <v>239.31319999999999</v>
      </c>
      <c r="N65">
        <f>-3.603189</f>
        <v>-3.603189</v>
      </c>
      <c r="O65">
        <f t="shared" si="3"/>
        <v>-1.5056373823090411E-2</v>
      </c>
    </row>
    <row r="66" spans="1:15" x14ac:dyDescent="0.25">
      <c r="A66">
        <v>6385.3829999999998</v>
      </c>
      <c r="B66">
        <v>211.2773</v>
      </c>
      <c r="C66">
        <f t="shared" si="0"/>
        <v>3.3087647209259025E-2</v>
      </c>
      <c r="D66">
        <v>453.94940000000003</v>
      </c>
      <c r="E66">
        <v>21.440639999999998</v>
      </c>
      <c r="F66">
        <f t="shared" si="1"/>
        <v>4.7231343405234147E-2</v>
      </c>
      <c r="G66">
        <v>80.307469999999995</v>
      </c>
      <c r="H66">
        <v>5.0825310000000004</v>
      </c>
      <c r="I66">
        <f t="shared" si="2"/>
        <v>6.3288396459258406E-2</v>
      </c>
      <c r="J66">
        <v>738.65449999999998</v>
      </c>
      <c r="K66">
        <v>36.415469999999999</v>
      </c>
      <c r="L66">
        <f t="shared" si="4"/>
        <v>4.9299733501928171E-2</v>
      </c>
      <c r="M66">
        <v>235.8723</v>
      </c>
      <c r="N66">
        <v>12.93768</v>
      </c>
      <c r="O66">
        <f t="shared" si="3"/>
        <v>5.4850357587559032E-2</v>
      </c>
    </row>
    <row r="67" spans="1:15" x14ac:dyDescent="0.25">
      <c r="A67">
        <v>6617.5969999999998</v>
      </c>
      <c r="B67">
        <f>-66.7272</f>
        <v>-66.727199999999996</v>
      </c>
      <c r="C67">
        <f t="shared" si="0"/>
        <v>-1.0083297607877904E-2</v>
      </c>
      <c r="D67">
        <v>474.99220000000003</v>
      </c>
      <c r="E67">
        <f>-10.8422</f>
        <v>-10.8422</v>
      </c>
      <c r="F67">
        <f t="shared" si="1"/>
        <v>-2.2826059038443158E-2</v>
      </c>
      <c r="G67">
        <v>85.413319999999999</v>
      </c>
      <c r="H67">
        <v>-0.2433226</v>
      </c>
      <c r="I67">
        <f t="shared" si="2"/>
        <v>-2.8487664453272629E-3</v>
      </c>
      <c r="J67">
        <v>774.44569999999999</v>
      </c>
      <c r="K67">
        <f>-16.51568</f>
        <v>-16.51568</v>
      </c>
      <c r="L67">
        <f t="shared" si="4"/>
        <v>-2.1325807606653379E-2</v>
      </c>
      <c r="M67">
        <v>249.39150000000001</v>
      </c>
      <c r="N67">
        <f>-11.13151</f>
        <v>-11.13151</v>
      </c>
      <c r="O67">
        <f t="shared" si="3"/>
        <v>-4.4634680813099084E-2</v>
      </c>
    </row>
    <row r="68" spans="1:15" x14ac:dyDescent="0.25">
      <c r="A68">
        <v>6566.96</v>
      </c>
      <c r="B68">
        <v>32.749580000000002</v>
      </c>
      <c r="C68">
        <f t="shared" ref="C68:C131" si="5">B68/A68</f>
        <v>4.9870229147124393E-3</v>
      </c>
      <c r="D68">
        <v>463.96589999999998</v>
      </c>
      <c r="E68">
        <v>3.3240620000000001</v>
      </c>
      <c r="F68">
        <f t="shared" ref="F68:F131" si="6">E68/D68</f>
        <v>7.1644532496892557E-3</v>
      </c>
      <c r="G68">
        <v>85.193929999999995</v>
      </c>
      <c r="H68">
        <v>0.45606950000000002</v>
      </c>
      <c r="I68">
        <f t="shared" ref="I68:I131" si="7">H68/G68</f>
        <v>5.3533097956626726E-3</v>
      </c>
      <c r="J68">
        <v>757.31949999999995</v>
      </c>
      <c r="K68">
        <v>5.9705149999999998</v>
      </c>
      <c r="L68">
        <f t="shared" si="4"/>
        <v>7.88374655611007E-3</v>
      </c>
      <c r="M68">
        <v>238.3691</v>
      </c>
      <c r="N68">
        <v>7.2808979999999996</v>
      </c>
      <c r="O68">
        <f t="shared" ref="O68:O131" si="8">N68/M68</f>
        <v>3.054463854585179E-2</v>
      </c>
    </row>
    <row r="69" spans="1:15" x14ac:dyDescent="0.25">
      <c r="A69">
        <v>6629.0940000000001</v>
      </c>
      <c r="B69" s="8">
        <v>9.5960999999999999</v>
      </c>
      <c r="C69">
        <f t="shared" si="5"/>
        <v>1.4475733788056105E-3</v>
      </c>
      <c r="D69">
        <v>466.71660000000003</v>
      </c>
      <c r="E69">
        <v>7.643357</v>
      </c>
      <c r="F69">
        <f t="shared" si="6"/>
        <v>1.6376869817786639E-2</v>
      </c>
      <c r="G69">
        <v>85.672610000000006</v>
      </c>
      <c r="H69">
        <f>-1.832604</f>
        <v>-1.8326039999999999</v>
      </c>
      <c r="I69">
        <f t="shared" si="7"/>
        <v>-2.1390780554018371E-2</v>
      </c>
      <c r="J69">
        <v>762.67520000000002</v>
      </c>
      <c r="K69">
        <f>-14.19517</f>
        <v>-14.195169999999999</v>
      </c>
      <c r="L69">
        <f t="shared" ref="L69:L132" si="9">K69/J69</f>
        <v>-1.8612339826966969E-2</v>
      </c>
      <c r="M69">
        <v>245.80009999999999</v>
      </c>
      <c r="N69">
        <f>-3.470142</f>
        <v>-3.4701420000000001</v>
      </c>
      <c r="O69">
        <f t="shared" si="8"/>
        <v>-1.4117740391480721E-2</v>
      </c>
    </row>
    <row r="70" spans="1:15" x14ac:dyDescent="0.25">
      <c r="A70">
        <v>6655.4489999999996</v>
      </c>
      <c r="B70">
        <v>13.2606</v>
      </c>
      <c r="C70">
        <f t="shared" si="5"/>
        <v>1.9924425835131485E-3</v>
      </c>
      <c r="D70">
        <v>473.81079999999997</v>
      </c>
      <c r="E70">
        <v>0.24923310000000001</v>
      </c>
      <c r="F70">
        <f t="shared" si="6"/>
        <v>5.2601819122738446E-4</v>
      </c>
      <c r="G70">
        <v>83.867609999999999</v>
      </c>
      <c r="H70">
        <v>-0.4676053</v>
      </c>
      <c r="I70">
        <f t="shared" si="7"/>
        <v>-5.5755171752241419E-3</v>
      </c>
      <c r="J70">
        <v>747.87710000000004</v>
      </c>
      <c r="K70">
        <f>-11.1171</f>
        <v>-11.117100000000001</v>
      </c>
      <c r="L70">
        <f t="shared" si="9"/>
        <v>-1.4864875525671263E-2</v>
      </c>
      <c r="M70">
        <v>242.4871</v>
      </c>
      <c r="N70">
        <v>-0.89707740000000002</v>
      </c>
      <c r="O70">
        <f t="shared" si="8"/>
        <v>-3.6994850447714541E-3</v>
      </c>
    </row>
    <row r="71" spans="1:15" x14ac:dyDescent="0.25">
      <c r="A71">
        <v>6677.8019999999997</v>
      </c>
      <c r="B71">
        <v>179.99760000000001</v>
      </c>
      <c r="C71">
        <f t="shared" si="5"/>
        <v>2.6954617702052264E-2</v>
      </c>
      <c r="D71">
        <v>473.2758</v>
      </c>
      <c r="E71">
        <v>18.79421</v>
      </c>
      <c r="F71">
        <f t="shared" si="6"/>
        <v>3.9710904297240633E-2</v>
      </c>
      <c r="G71">
        <v>83.428820000000002</v>
      </c>
      <c r="H71">
        <v>2.8311790000000001</v>
      </c>
      <c r="I71">
        <f t="shared" si="7"/>
        <v>3.3935263617536481E-2</v>
      </c>
      <c r="J71">
        <v>736.16660000000002</v>
      </c>
      <c r="K71">
        <v>39.613460000000003</v>
      </c>
      <c r="L71">
        <f t="shared" si="9"/>
        <v>5.3810455405067278E-2</v>
      </c>
      <c r="M71">
        <v>241.4836</v>
      </c>
      <c r="N71">
        <v>5.3863709999999996</v>
      </c>
      <c r="O71">
        <f t="shared" si="8"/>
        <v>2.2305328394971749E-2</v>
      </c>
    </row>
    <row r="72" spans="1:15" x14ac:dyDescent="0.25">
      <c r="A72">
        <v>6875.6109999999999</v>
      </c>
      <c r="B72">
        <f>-100.5308</f>
        <v>-100.5308</v>
      </c>
      <c r="C72">
        <f t="shared" si="5"/>
        <v>-1.4621362377830857E-2</v>
      </c>
      <c r="D72">
        <v>491.20179999999999</v>
      </c>
      <c r="E72">
        <f>-2.321808</f>
        <v>-2.3218079999999999</v>
      </c>
      <c r="F72">
        <f t="shared" si="6"/>
        <v>-4.7267904962888978E-3</v>
      </c>
      <c r="G72">
        <v>86.280919999999995</v>
      </c>
      <c r="H72">
        <f>-3.740919</f>
        <v>-3.7409189999999999</v>
      </c>
      <c r="I72">
        <f t="shared" si="7"/>
        <v>-4.3357430588361834E-2</v>
      </c>
      <c r="J72">
        <v>775.15509999999995</v>
      </c>
      <c r="K72">
        <f>-23.58511</f>
        <v>-23.58511</v>
      </c>
      <c r="L72">
        <f t="shared" si="9"/>
        <v>-3.0426310811862041E-2</v>
      </c>
      <c r="M72">
        <v>247.05850000000001</v>
      </c>
      <c r="N72">
        <f>-3.548504</f>
        <v>-3.5485039999999999</v>
      </c>
      <c r="O72">
        <f t="shared" si="8"/>
        <v>-1.4363011189657509E-2</v>
      </c>
    </row>
    <row r="73" spans="1:15" x14ac:dyDescent="0.25">
      <c r="A73">
        <v>6780.0190000000002</v>
      </c>
      <c r="B73">
        <f>-40.80856</f>
        <v>-40.80856</v>
      </c>
      <c r="C73">
        <f t="shared" si="5"/>
        <v>-6.0189447846680077E-3</v>
      </c>
      <c r="D73">
        <v>488.28699999999998</v>
      </c>
      <c r="E73">
        <f>-12.12696</f>
        <v>-12.12696</v>
      </c>
      <c r="F73">
        <f t="shared" si="6"/>
        <v>-2.4835721614542269E-2</v>
      </c>
      <c r="G73">
        <v>82.571200000000005</v>
      </c>
      <c r="H73">
        <f>-1.791197</f>
        <v>-1.7911969999999999</v>
      </c>
      <c r="I73">
        <f t="shared" si="7"/>
        <v>-2.169275728098901E-2</v>
      </c>
      <c r="J73">
        <v>750.96460000000002</v>
      </c>
      <c r="K73">
        <f>-18.10461</f>
        <v>-18.104610000000001</v>
      </c>
      <c r="L73">
        <f t="shared" si="9"/>
        <v>-2.4108473288887388E-2</v>
      </c>
      <c r="M73">
        <v>243.49789999999999</v>
      </c>
      <c r="N73">
        <f>-11.31793</f>
        <v>-11.31793</v>
      </c>
      <c r="O73">
        <f t="shared" si="8"/>
        <v>-4.6480606198246475E-2</v>
      </c>
    </row>
    <row r="74" spans="1:15" x14ac:dyDescent="0.25">
      <c r="A74">
        <v>6744.808</v>
      </c>
      <c r="B74">
        <f>-414.0376</f>
        <v>-414.0376</v>
      </c>
      <c r="C74">
        <f t="shared" si="5"/>
        <v>-6.1386120998551771E-2</v>
      </c>
      <c r="D74">
        <v>475.72579999999999</v>
      </c>
      <c r="E74">
        <f>-41.20581</f>
        <v>-41.20581</v>
      </c>
      <c r="F74">
        <f t="shared" si="6"/>
        <v>-8.6616723330960821E-2</v>
      </c>
      <c r="G74">
        <v>80.816059999999993</v>
      </c>
      <c r="H74">
        <f>-4.68606</f>
        <v>-4.6860600000000003</v>
      </c>
      <c r="I74">
        <f t="shared" si="7"/>
        <v>-5.7984266988516893E-2</v>
      </c>
      <c r="J74">
        <v>732.26969999999994</v>
      </c>
      <c r="K74">
        <f>-43.39968</f>
        <v>-43.399679999999996</v>
      </c>
      <c r="L74">
        <f t="shared" si="9"/>
        <v>-5.9267343712296167E-2</v>
      </c>
      <c r="M74">
        <v>232.03129999999999</v>
      </c>
      <c r="N74">
        <f>-11.23132</f>
        <v>-11.23132</v>
      </c>
      <c r="O74">
        <f t="shared" si="8"/>
        <v>-4.8404331656979042E-2</v>
      </c>
    </row>
    <row r="75" spans="1:15" x14ac:dyDescent="0.25">
      <c r="A75">
        <v>6318.375</v>
      </c>
      <c r="B75">
        <v>78.405209999999997</v>
      </c>
      <c r="C75">
        <f t="shared" si="5"/>
        <v>1.240907828357766E-2</v>
      </c>
      <c r="D75">
        <v>434.92399999999998</v>
      </c>
      <c r="E75">
        <v>11.575950000000001</v>
      </c>
      <c r="F75">
        <f t="shared" si="6"/>
        <v>2.6616029467217264E-2</v>
      </c>
      <c r="G75">
        <v>76.178910000000002</v>
      </c>
      <c r="H75">
        <v>2.411092</v>
      </c>
      <c r="I75">
        <f t="shared" si="7"/>
        <v>3.1650387226595918E-2</v>
      </c>
      <c r="J75">
        <v>688.31510000000003</v>
      </c>
      <c r="K75">
        <v>18.66489</v>
      </c>
      <c r="L75">
        <f t="shared" si="9"/>
        <v>2.711678125323707E-2</v>
      </c>
      <c r="M75">
        <v>220.46449999999999</v>
      </c>
      <c r="N75">
        <f>-2.294525</f>
        <v>-2.2945250000000001</v>
      </c>
      <c r="O75">
        <f t="shared" si="8"/>
        <v>-1.0407684683928706E-2</v>
      </c>
    </row>
    <row r="76" spans="1:15" x14ac:dyDescent="0.25">
      <c r="A76">
        <v>6385.1970000000001</v>
      </c>
      <c r="B76">
        <f>-150.1669</f>
        <v>-150.1669</v>
      </c>
      <c r="C76">
        <f t="shared" si="5"/>
        <v>-2.3517974465000844E-2</v>
      </c>
      <c r="D76">
        <v>446.60180000000003</v>
      </c>
      <c r="E76">
        <f>-15.86178</f>
        <v>-15.86178</v>
      </c>
      <c r="F76">
        <f t="shared" si="6"/>
        <v>-3.5516605620487869E-2</v>
      </c>
      <c r="G76">
        <v>78.632109999999997</v>
      </c>
      <c r="H76">
        <f>-1.342111</f>
        <v>-1.3421110000000001</v>
      </c>
      <c r="I76">
        <f t="shared" si="7"/>
        <v>-1.7068230777477548E-2</v>
      </c>
      <c r="J76">
        <v>706.41049999999996</v>
      </c>
      <c r="K76">
        <f>-19.76053</f>
        <v>-19.760529999999999</v>
      </c>
      <c r="L76">
        <f t="shared" si="9"/>
        <v>-2.7973154419420436E-2</v>
      </c>
      <c r="M76">
        <v>217.68719999999999</v>
      </c>
      <c r="N76">
        <f>-5.637169</f>
        <v>-5.6371690000000001</v>
      </c>
      <c r="O76">
        <f t="shared" si="8"/>
        <v>-2.5895730203705135E-2</v>
      </c>
    </row>
    <row r="77" spans="1:15" x14ac:dyDescent="0.25">
      <c r="A77">
        <v>6215.8440000000001</v>
      </c>
      <c r="B77">
        <v>31.656089999999999</v>
      </c>
      <c r="C77">
        <f t="shared" si="5"/>
        <v>5.0928063831717782E-3</v>
      </c>
      <c r="D77">
        <v>431.09809999999999</v>
      </c>
      <c r="E77">
        <v>3.4119449999999998</v>
      </c>
      <c r="F77">
        <f t="shared" si="6"/>
        <v>7.9145442765811303E-3</v>
      </c>
      <c r="G77">
        <v>77.335700000000003</v>
      </c>
      <c r="H77">
        <v>-0.365703</v>
      </c>
      <c r="I77">
        <f t="shared" si="7"/>
        <v>-4.728773386676528E-3</v>
      </c>
      <c r="J77">
        <v>686.09690000000001</v>
      </c>
      <c r="K77" s="9">
        <v>10.3231</v>
      </c>
      <c r="L77">
        <f t="shared" si="9"/>
        <v>1.504612540881616E-2</v>
      </c>
      <c r="M77">
        <v>211.52330000000001</v>
      </c>
      <c r="N77">
        <v>7.3566750000000001</v>
      </c>
      <c r="O77">
        <f t="shared" si="8"/>
        <v>3.4779501832658627E-2</v>
      </c>
    </row>
    <row r="78" spans="1:15" x14ac:dyDescent="0.25">
      <c r="A78">
        <v>6220.3419999999996</v>
      </c>
      <c r="B78">
        <v>52.358159999999998</v>
      </c>
      <c r="C78">
        <f t="shared" si="5"/>
        <v>8.4172477976291338E-3</v>
      </c>
      <c r="D78">
        <v>434.90170000000001</v>
      </c>
      <c r="E78">
        <v>0.97831239999999997</v>
      </c>
      <c r="F78">
        <f t="shared" si="6"/>
        <v>2.2495023588088984E-3</v>
      </c>
      <c r="G78">
        <v>77.016589999999994</v>
      </c>
      <c r="H78">
        <v>-0.31658720000000001</v>
      </c>
      <c r="I78">
        <f t="shared" si="7"/>
        <v>-4.1106364226201142E-3</v>
      </c>
      <c r="J78">
        <v>695.85900000000004</v>
      </c>
      <c r="K78">
        <v>7.1309680000000002</v>
      </c>
      <c r="L78">
        <f t="shared" si="9"/>
        <v>1.0247719724829312E-2</v>
      </c>
      <c r="M78">
        <v>218.69049999999999</v>
      </c>
      <c r="N78">
        <v>5.8795229999999998</v>
      </c>
      <c r="O78">
        <f t="shared" si="8"/>
        <v>2.688513218452562E-2</v>
      </c>
    </row>
    <row r="79" spans="1:15" x14ac:dyDescent="0.25">
      <c r="A79">
        <v>6250.2160000000003</v>
      </c>
      <c r="B79">
        <v>106.7941</v>
      </c>
      <c r="C79">
        <f t="shared" si="5"/>
        <v>1.7086465491752603E-2</v>
      </c>
      <c r="D79">
        <v>436.2491</v>
      </c>
      <c r="E79">
        <v>14.170920000000001</v>
      </c>
      <c r="F79">
        <f t="shared" si="6"/>
        <v>3.2483551255463906E-2</v>
      </c>
      <c r="G79">
        <v>76.747330000000005</v>
      </c>
      <c r="H79">
        <v>2.2126670000000002</v>
      </c>
      <c r="I79">
        <f t="shared" si="7"/>
        <v>2.8830540424012147E-2</v>
      </c>
      <c r="J79">
        <v>702.42380000000003</v>
      </c>
      <c r="K79">
        <v>22.056260000000002</v>
      </c>
      <c r="L79">
        <f t="shared" si="9"/>
        <v>3.1400217361655457E-2</v>
      </c>
      <c r="M79">
        <v>224.6985</v>
      </c>
      <c r="N79">
        <v>7.4315439999999997</v>
      </c>
      <c r="O79">
        <f t="shared" si="8"/>
        <v>3.3073402804202075E-2</v>
      </c>
    </row>
    <row r="80" spans="1:15" x14ac:dyDescent="0.25">
      <c r="A80">
        <v>6339.393</v>
      </c>
      <c r="B80">
        <v>400.25700000000001</v>
      </c>
      <c r="C80">
        <f t="shared" si="5"/>
        <v>6.3138063849330683E-2</v>
      </c>
      <c r="D80">
        <v>450.8064</v>
      </c>
      <c r="E80">
        <v>29.273579999999999</v>
      </c>
      <c r="F80">
        <f t="shared" si="6"/>
        <v>6.4936034625950295E-2</v>
      </c>
      <c r="G80">
        <v>79.001090000000005</v>
      </c>
      <c r="H80">
        <v>5.2989110000000004</v>
      </c>
      <c r="I80">
        <f t="shared" si="7"/>
        <v>6.7073897334834237E-2</v>
      </c>
      <c r="J80">
        <v>723.89639999999997</v>
      </c>
      <c r="K80">
        <v>79.223569999999995</v>
      </c>
      <c r="L80">
        <f t="shared" si="9"/>
        <v>0.10944048070967061</v>
      </c>
      <c r="M80">
        <v>232.44220000000001</v>
      </c>
      <c r="N80">
        <v>14.287789999999999</v>
      </c>
      <c r="O80">
        <f t="shared" si="8"/>
        <v>6.1468141327177248E-2</v>
      </c>
    </row>
    <row r="81" spans="1:15" x14ac:dyDescent="0.25">
      <c r="A81">
        <v>6755.1059999999998</v>
      </c>
      <c r="B81">
        <v>560.21410000000003</v>
      </c>
      <c r="C81">
        <f t="shared" si="5"/>
        <v>8.2931948070096906E-2</v>
      </c>
      <c r="D81">
        <v>480.01710000000003</v>
      </c>
      <c r="E81">
        <v>20.822880000000001</v>
      </c>
      <c r="F81">
        <f t="shared" si="6"/>
        <v>4.3379454606929629E-2</v>
      </c>
      <c r="G81">
        <v>84.326329999999999</v>
      </c>
      <c r="H81">
        <v>5.4936660000000002</v>
      </c>
      <c r="I81">
        <f t="shared" si="7"/>
        <v>6.5147694676146825E-2</v>
      </c>
      <c r="J81">
        <v>802.47310000000004</v>
      </c>
      <c r="K81">
        <v>47.29692</v>
      </c>
      <c r="L81">
        <f t="shared" si="9"/>
        <v>5.8938947610829566E-2</v>
      </c>
      <c r="M81">
        <v>247.417</v>
      </c>
      <c r="N81">
        <v>12.57301</v>
      </c>
      <c r="O81">
        <f t="shared" si="8"/>
        <v>5.0817082092176363E-2</v>
      </c>
    </row>
    <row r="82" spans="1:15" x14ac:dyDescent="0.25">
      <c r="A82">
        <v>7350.1059999999998</v>
      </c>
      <c r="B82">
        <v>28.093820000000001</v>
      </c>
      <c r="C82">
        <f t="shared" si="5"/>
        <v>3.8222333120093779E-3</v>
      </c>
      <c r="D82">
        <v>500.33539999999999</v>
      </c>
      <c r="E82">
        <f>-19.70534</f>
        <v>-19.70534</v>
      </c>
      <c r="F82">
        <f t="shared" si="6"/>
        <v>-3.9384261037695913E-2</v>
      </c>
      <c r="G82">
        <v>89.831090000000003</v>
      </c>
      <c r="H82">
        <f>-2.931082</f>
        <v>-2.931082</v>
      </c>
      <c r="I82">
        <f t="shared" si="7"/>
        <v>-3.262881481233279E-2</v>
      </c>
      <c r="J82">
        <v>849.08550000000002</v>
      </c>
      <c r="K82">
        <f>-20.65551</f>
        <v>-20.65551</v>
      </c>
      <c r="L82">
        <f t="shared" si="9"/>
        <v>-2.4326772745500894E-2</v>
      </c>
      <c r="M82">
        <v>260.78059999999999</v>
      </c>
      <c r="N82">
        <v>4.4794169999999998</v>
      </c>
      <c r="O82">
        <f t="shared" si="8"/>
        <v>1.7176956414702627E-2</v>
      </c>
    </row>
    <row r="83" spans="1:15" x14ac:dyDescent="0.25">
      <c r="A83">
        <v>7422.652</v>
      </c>
      <c r="B83">
        <v>44.747709999999998</v>
      </c>
      <c r="C83">
        <f t="shared" si="5"/>
        <v>6.0285340064440574E-3</v>
      </c>
      <c r="D83">
        <v>479.8997</v>
      </c>
      <c r="E83">
        <f>-10.58966</f>
        <v>-10.58966</v>
      </c>
      <c r="F83">
        <f t="shared" si="6"/>
        <v>-2.2066402625381929E-2</v>
      </c>
      <c r="G83">
        <v>86.919150000000002</v>
      </c>
      <c r="H83">
        <v>-0.23915049999999999</v>
      </c>
      <c r="I83">
        <f t="shared" si="7"/>
        <v>-2.7514132386246299E-3</v>
      </c>
      <c r="J83">
        <v>827.7627</v>
      </c>
      <c r="K83">
        <f>-4.362698</f>
        <v>-4.362698</v>
      </c>
      <c r="L83">
        <f t="shared" si="9"/>
        <v>-5.2704694231813058E-3</v>
      </c>
      <c r="M83">
        <v>266.03489999999999</v>
      </c>
      <c r="N83">
        <f>-5.604885</f>
        <v>-5.6048850000000003</v>
      </c>
      <c r="O83">
        <f t="shared" si="8"/>
        <v>-2.1068232025196695E-2</v>
      </c>
    </row>
    <row r="84" spans="1:15" x14ac:dyDescent="0.25">
      <c r="A84">
        <v>7514.7470000000003</v>
      </c>
      <c r="B84">
        <f>-162.0273</f>
        <v>-162.0273</v>
      </c>
      <c r="C84">
        <f t="shared" si="5"/>
        <v>-2.156124484297342E-2</v>
      </c>
      <c r="D84">
        <v>468.8818</v>
      </c>
      <c r="E84">
        <f>-18.20178</f>
        <v>-18.201779999999999</v>
      </c>
      <c r="F84">
        <f t="shared" si="6"/>
        <v>-3.8819548978015352E-2</v>
      </c>
      <c r="G84">
        <v>86.699759999999998</v>
      </c>
      <c r="H84">
        <f>-4.039758</f>
        <v>-4.039758</v>
      </c>
      <c r="I84">
        <f t="shared" si="7"/>
        <v>-4.6594800262422874E-2</v>
      </c>
      <c r="J84">
        <v>822.73680000000002</v>
      </c>
      <c r="K84">
        <f>-54.85675</f>
        <v>-54.856749999999998</v>
      </c>
      <c r="L84">
        <f t="shared" si="9"/>
        <v>-6.6675940592422753E-2</v>
      </c>
      <c r="M84">
        <v>260.9751</v>
      </c>
      <c r="N84">
        <f>-12.5751</f>
        <v>-12.575100000000001</v>
      </c>
      <c r="O84">
        <f t="shared" si="8"/>
        <v>-4.8185056735297736E-2</v>
      </c>
    </row>
    <row r="85" spans="1:15" x14ac:dyDescent="0.25">
      <c r="A85">
        <v>7394.5020000000004</v>
      </c>
      <c r="B85">
        <v>23.298259999999999</v>
      </c>
      <c r="C85">
        <f t="shared" si="5"/>
        <v>3.150754438906095E-3</v>
      </c>
      <c r="D85">
        <v>450.3184</v>
      </c>
      <c r="E85">
        <v>12.121639999999999</v>
      </c>
      <c r="F85">
        <f t="shared" si="6"/>
        <v>2.6917931845556388E-2</v>
      </c>
      <c r="G85">
        <v>82.690860000000001</v>
      </c>
      <c r="H85">
        <v>1.569134</v>
      </c>
      <c r="I85">
        <f t="shared" si="7"/>
        <v>1.8975906164236288E-2</v>
      </c>
      <c r="J85">
        <v>767.26149999999996</v>
      </c>
      <c r="K85">
        <v>21.20853</v>
      </c>
      <c r="L85">
        <f t="shared" si="9"/>
        <v>2.7641853527122111E-2</v>
      </c>
      <c r="M85">
        <v>248.45359999999999</v>
      </c>
      <c r="N85">
        <v>6.6163679999999996</v>
      </c>
      <c r="O85">
        <f t="shared" si="8"/>
        <v>2.6630195738761683E-2</v>
      </c>
    </row>
    <row r="86" spans="1:15" x14ac:dyDescent="0.25">
      <c r="A86">
        <v>7458.3310000000001</v>
      </c>
      <c r="B86">
        <f>-43.62098</f>
        <v>-43.620980000000003</v>
      </c>
      <c r="C86">
        <f t="shared" si="5"/>
        <v>-5.848624846497159E-3</v>
      </c>
      <c r="D86">
        <v>461.96129999999999</v>
      </c>
      <c r="E86">
        <f>-2.521335</f>
        <v>-2.5213350000000001</v>
      </c>
      <c r="F86">
        <f t="shared" si="6"/>
        <v>-5.457892252013318E-3</v>
      </c>
      <c r="G86">
        <v>84.286450000000002</v>
      </c>
      <c r="H86">
        <f>-1.056445</f>
        <v>-1.0564450000000001</v>
      </c>
      <c r="I86">
        <f t="shared" si="7"/>
        <v>-1.2533983813531119E-2</v>
      </c>
      <c r="J86">
        <v>787.83489999999995</v>
      </c>
      <c r="K86">
        <v>1.8551150000000001</v>
      </c>
      <c r="L86">
        <f t="shared" si="9"/>
        <v>2.3547002043194584E-3</v>
      </c>
      <c r="M86">
        <v>254.988</v>
      </c>
      <c r="N86">
        <f>-4.627968</f>
        <v>-4.6279680000000001</v>
      </c>
      <c r="O86">
        <f t="shared" si="8"/>
        <v>-1.8149748223445811E-2</v>
      </c>
    </row>
    <row r="87" spans="1:15" x14ac:dyDescent="0.25">
      <c r="A87">
        <v>7438.0129999999999</v>
      </c>
      <c r="B87">
        <v>278.4975</v>
      </c>
      <c r="C87">
        <f t="shared" si="5"/>
        <v>3.7442459431033533E-2</v>
      </c>
      <c r="D87">
        <v>459.01949999999999</v>
      </c>
      <c r="E87">
        <f>-7.879493</f>
        <v>-7.8794930000000001</v>
      </c>
      <c r="F87">
        <f t="shared" si="6"/>
        <v>-1.7165922144919771E-2</v>
      </c>
      <c r="G87">
        <v>83.259289999999993</v>
      </c>
      <c r="H87">
        <v>-0.57929070000000005</v>
      </c>
      <c r="I87">
        <f t="shared" si="7"/>
        <v>-6.9576704293298694E-3</v>
      </c>
      <c r="J87">
        <v>789.0539</v>
      </c>
      <c r="K87">
        <f>-3.453903</f>
        <v>-3.4539029999999999</v>
      </c>
      <c r="L87">
        <f t="shared" si="9"/>
        <v>-4.3772713118837639E-3</v>
      </c>
      <c r="M87">
        <v>250.0941</v>
      </c>
      <c r="N87">
        <f>-8.274076</f>
        <v>-8.2740760000000009</v>
      </c>
      <c r="O87">
        <f t="shared" si="8"/>
        <v>-3.3083851238393872E-2</v>
      </c>
    </row>
    <row r="88" spans="1:15" x14ac:dyDescent="0.25">
      <c r="A88">
        <v>7725.7539999999999</v>
      </c>
      <c r="B88">
        <v>653.90589999999997</v>
      </c>
      <c r="C88">
        <f t="shared" si="5"/>
        <v>8.463975166695703E-2</v>
      </c>
      <c r="D88">
        <v>451.01089999999999</v>
      </c>
      <c r="E88">
        <v>28.89912</v>
      </c>
      <c r="F88">
        <f t="shared" si="6"/>
        <v>6.4076322767365496E-2</v>
      </c>
      <c r="G88">
        <v>82.710809999999995</v>
      </c>
      <c r="H88">
        <v>5.9491899999999998</v>
      </c>
      <c r="I88">
        <f t="shared" si="7"/>
        <v>7.1927599306547713E-2</v>
      </c>
      <c r="J88">
        <v>784.96720000000005</v>
      </c>
      <c r="K88">
        <v>78.232799999999997</v>
      </c>
      <c r="L88">
        <f t="shared" si="9"/>
        <v>9.9663782130004916E-2</v>
      </c>
      <c r="M88">
        <v>241.4956</v>
      </c>
      <c r="N88">
        <v>9.5744039999999995</v>
      </c>
      <c r="O88">
        <f t="shared" si="8"/>
        <v>3.9646287551408803E-2</v>
      </c>
    </row>
    <row r="89" spans="1:15" x14ac:dyDescent="0.25">
      <c r="A89">
        <v>8411.7610000000004</v>
      </c>
      <c r="B89">
        <f>-234.9104</f>
        <v>-234.91040000000001</v>
      </c>
      <c r="C89">
        <f t="shared" si="5"/>
        <v>-2.79264234920607E-2</v>
      </c>
      <c r="D89">
        <v>479.74259999999998</v>
      </c>
      <c r="E89">
        <f>-7.412657</f>
        <v>-7.4126570000000003</v>
      </c>
      <c r="F89">
        <f t="shared" si="6"/>
        <v>-1.5451321187653548E-2</v>
      </c>
      <c r="G89">
        <v>88.674289999999999</v>
      </c>
      <c r="H89">
        <f>-2.394288</f>
        <v>-2.394288</v>
      </c>
      <c r="I89">
        <f t="shared" si="7"/>
        <v>-2.700092664965234E-2</v>
      </c>
      <c r="J89">
        <v>862.50469999999996</v>
      </c>
      <c r="K89">
        <f>-31.76469</f>
        <v>-31.764690000000002</v>
      </c>
      <c r="L89">
        <f t="shared" si="9"/>
        <v>-3.682842539872537E-2</v>
      </c>
      <c r="M89">
        <v>251.13890000000001</v>
      </c>
      <c r="N89">
        <f>-6.788859</f>
        <v>-6.7888590000000004</v>
      </c>
      <c r="O89">
        <f t="shared" si="8"/>
        <v>-2.7032287710107832E-2</v>
      </c>
    </row>
    <row r="90" spans="1:15" x14ac:dyDescent="0.25">
      <c r="A90">
        <v>8197.1119999999992</v>
      </c>
      <c r="B90">
        <f>-246.7121</f>
        <v>-246.71209999999999</v>
      </c>
      <c r="C90">
        <f t="shared" si="5"/>
        <v>-3.0097441635541886E-2</v>
      </c>
      <c r="D90">
        <v>472.51960000000003</v>
      </c>
      <c r="E90">
        <f>-8.509583</f>
        <v>-8.5095829999999992</v>
      </c>
      <c r="F90">
        <f t="shared" si="6"/>
        <v>-1.8008952432872625E-2</v>
      </c>
      <c r="G90">
        <v>86.300870000000003</v>
      </c>
      <c r="H90">
        <f>-2.570863</f>
        <v>-2.5708630000000001</v>
      </c>
      <c r="I90">
        <f t="shared" si="7"/>
        <v>-2.9789537463527308E-2</v>
      </c>
      <c r="J90">
        <v>830.07090000000005</v>
      </c>
      <c r="K90">
        <f>-25.72084</f>
        <v>-25.720839999999999</v>
      </c>
      <c r="L90">
        <f t="shared" si="9"/>
        <v>-3.0986316951961572E-2</v>
      </c>
      <c r="M90">
        <v>244.17269999999999</v>
      </c>
      <c r="N90">
        <f>-2.172716</f>
        <v>-2.1727159999999999</v>
      </c>
      <c r="O90">
        <f t="shared" si="8"/>
        <v>-8.898275687658776E-3</v>
      </c>
    </row>
    <row r="91" spans="1:15" x14ac:dyDescent="0.25">
      <c r="A91">
        <v>7967.0249999999996</v>
      </c>
      <c r="B91">
        <v>202.0352</v>
      </c>
      <c r="C91">
        <f t="shared" si="5"/>
        <v>2.5358926324443566E-2</v>
      </c>
      <c r="D91">
        <v>464.06939999999997</v>
      </c>
      <c r="E91">
        <v>5.6105660000000004</v>
      </c>
      <c r="F91">
        <f t="shared" si="6"/>
        <v>1.2089928790823098E-2</v>
      </c>
      <c r="G91">
        <v>83.757909999999995</v>
      </c>
      <c r="H91">
        <v>0.78209079999999997</v>
      </c>
      <c r="I91">
        <f t="shared" si="7"/>
        <v>9.3375157044868953E-3</v>
      </c>
      <c r="J91">
        <v>803.70209999999997</v>
      </c>
      <c r="K91">
        <v>17.78791</v>
      </c>
      <c r="L91">
        <f t="shared" si="9"/>
        <v>2.2132466743585714E-2</v>
      </c>
      <c r="M91">
        <v>241.87119999999999</v>
      </c>
      <c r="N91">
        <v>2.1887560000000001</v>
      </c>
      <c r="O91">
        <f t="shared" si="8"/>
        <v>9.0492625827299829E-3</v>
      </c>
    </row>
    <row r="92" spans="1:15" x14ac:dyDescent="0.25">
      <c r="A92">
        <v>8191.2380000000003</v>
      </c>
      <c r="B92">
        <v>14.58169</v>
      </c>
      <c r="C92">
        <f t="shared" si="5"/>
        <v>1.7801570409747586E-3</v>
      </c>
      <c r="D92">
        <v>469.52350000000001</v>
      </c>
      <c r="E92">
        <f>-2.603536</f>
        <v>-2.6035360000000001</v>
      </c>
      <c r="F92">
        <f t="shared" si="6"/>
        <v>-5.5450600449178794E-3</v>
      </c>
      <c r="G92">
        <v>84.565669999999997</v>
      </c>
      <c r="H92">
        <v>-0.5156712</v>
      </c>
      <c r="I92">
        <f t="shared" si="7"/>
        <v>-6.0978787254922714E-3</v>
      </c>
      <c r="J92">
        <v>820.82830000000001</v>
      </c>
      <c r="K92">
        <v>0.1817124</v>
      </c>
      <c r="L92">
        <f t="shared" si="9"/>
        <v>2.2137687016882823E-4</v>
      </c>
      <c r="M92">
        <v>244.13079999999999</v>
      </c>
      <c r="N92">
        <f>-2.850844</f>
        <v>-2.8508439999999999</v>
      </c>
      <c r="O92">
        <f t="shared" si="8"/>
        <v>-1.1677526965053159E-2</v>
      </c>
    </row>
    <row r="93" spans="1:15" x14ac:dyDescent="0.25">
      <c r="A93">
        <v>8229.56</v>
      </c>
      <c r="B93">
        <f>-7.9793</f>
        <v>-7.9793000000000003</v>
      </c>
      <c r="C93">
        <f t="shared" si="5"/>
        <v>-9.6959011174351981E-4</v>
      </c>
      <c r="D93">
        <v>466.57560000000001</v>
      </c>
      <c r="E93">
        <v>0.25439980000000001</v>
      </c>
      <c r="F93">
        <f t="shared" si="6"/>
        <v>5.4524882998596583E-4</v>
      </c>
      <c r="G93">
        <v>84.077029999999993</v>
      </c>
      <c r="H93">
        <v>7.2974999999999998E-2</v>
      </c>
      <c r="I93">
        <f t="shared" si="7"/>
        <v>8.6795406545640353E-4</v>
      </c>
      <c r="J93">
        <v>820.34870000000001</v>
      </c>
      <c r="K93">
        <v>8.2013250000000006</v>
      </c>
      <c r="L93">
        <f t="shared" si="9"/>
        <v>9.9973645353494192E-3</v>
      </c>
      <c r="M93">
        <v>241.125</v>
      </c>
      <c r="N93">
        <v>-0.91495970000000004</v>
      </c>
      <c r="O93">
        <f t="shared" si="8"/>
        <v>-3.7945451529289788E-3</v>
      </c>
    </row>
    <row r="94" spans="1:15" x14ac:dyDescent="0.25">
      <c r="A94">
        <v>8232.4349999999995</v>
      </c>
      <c r="B94">
        <f>-51.235</f>
        <v>-51.234999999999999</v>
      </c>
      <c r="C94">
        <f t="shared" si="5"/>
        <v>-6.2235535415706292E-3</v>
      </c>
      <c r="D94">
        <v>466.62959999999998</v>
      </c>
      <c r="E94">
        <f>-9.379596</f>
        <v>-9.3795959999999994</v>
      </c>
      <c r="F94">
        <f t="shared" si="6"/>
        <v>-2.0100730858051009E-2</v>
      </c>
      <c r="G94">
        <v>84.176749999999998</v>
      </c>
      <c r="H94">
        <f>-1.486749</f>
        <v>-1.4867490000000001</v>
      </c>
      <c r="I94">
        <f t="shared" si="7"/>
        <v>-1.7662228584496314E-2</v>
      </c>
      <c r="J94">
        <v>827.88260000000002</v>
      </c>
      <c r="K94">
        <f>-11.1526</f>
        <v>-11.1526</v>
      </c>
      <c r="L94">
        <f t="shared" si="9"/>
        <v>-1.3471233723235637E-2</v>
      </c>
      <c r="M94">
        <v>240.1645</v>
      </c>
      <c r="N94">
        <f>-4.424506</f>
        <v>-4.424506</v>
      </c>
      <c r="O94">
        <f t="shared" si="8"/>
        <v>-1.8422814362655596E-2</v>
      </c>
    </row>
    <row r="95" spans="1:15" x14ac:dyDescent="0.25">
      <c r="A95">
        <v>8160.8410000000003</v>
      </c>
      <c r="B95">
        <f>-391.8008</f>
        <v>-391.80079999999998</v>
      </c>
      <c r="C95">
        <f t="shared" si="5"/>
        <v>-4.8009855846964787E-2</v>
      </c>
      <c r="D95">
        <v>457.14580000000001</v>
      </c>
      <c r="E95">
        <f>-23.27579</f>
        <v>-23.275790000000001</v>
      </c>
      <c r="F95">
        <f t="shared" si="6"/>
        <v>-5.0915462856707859E-2</v>
      </c>
      <c r="G95">
        <v>82.720780000000005</v>
      </c>
      <c r="H95">
        <f>-2.330783</f>
        <v>-2.3307829999999998</v>
      </c>
      <c r="I95">
        <f t="shared" si="7"/>
        <v>-2.8176511391696253E-2</v>
      </c>
      <c r="J95">
        <v>816.07209999999998</v>
      </c>
      <c r="K95">
        <f>-36.12212</f>
        <v>-36.122120000000002</v>
      </c>
      <c r="L95">
        <f t="shared" si="9"/>
        <v>-4.426339290364173E-2</v>
      </c>
      <c r="M95">
        <v>235.66050000000001</v>
      </c>
      <c r="N95">
        <f>-17.34049</f>
        <v>-17.340489999999999</v>
      </c>
      <c r="O95">
        <f t="shared" si="8"/>
        <v>-7.3582505341370313E-2</v>
      </c>
    </row>
    <row r="96" spans="1:15" x14ac:dyDescent="0.25">
      <c r="A96">
        <v>7741.7960000000003</v>
      </c>
      <c r="B96">
        <f>-107.606</f>
        <v>-107.60599999999999</v>
      </c>
      <c r="C96">
        <f t="shared" si="5"/>
        <v>-1.3899358753446873E-2</v>
      </c>
      <c r="D96">
        <v>433.98869999999999</v>
      </c>
      <c r="E96">
        <f>-13.17869</f>
        <v>-13.17869</v>
      </c>
      <c r="F96">
        <f t="shared" si="6"/>
        <v>-3.0366435808121272E-2</v>
      </c>
      <c r="G96">
        <v>80.427139999999994</v>
      </c>
      <c r="H96">
        <f>-2.717138</f>
        <v>-2.7171379999999998</v>
      </c>
      <c r="I96">
        <f t="shared" si="7"/>
        <v>-3.3783844607678457E-2</v>
      </c>
      <c r="J96">
        <v>779.32180000000005</v>
      </c>
      <c r="K96">
        <f>-11.65175</f>
        <v>-11.65175</v>
      </c>
      <c r="L96">
        <f t="shared" si="9"/>
        <v>-1.4951140850929615E-2</v>
      </c>
      <c r="M96">
        <v>217.89349999999999</v>
      </c>
      <c r="N96">
        <v>1.476475</v>
      </c>
      <c r="O96">
        <f t="shared" si="8"/>
        <v>6.7761314587172173E-3</v>
      </c>
    </row>
    <row r="97" spans="1:15" x14ac:dyDescent="0.25">
      <c r="A97">
        <v>7611.8519999999999</v>
      </c>
      <c r="B97">
        <f>-49.71171</f>
        <v>-49.711709999999997</v>
      </c>
      <c r="C97">
        <f t="shared" si="5"/>
        <v>-6.5308298164493996E-3</v>
      </c>
      <c r="D97">
        <v>421.45870000000002</v>
      </c>
      <c r="E97">
        <f>-8.888703</f>
        <v>-8.8887029999999996</v>
      </c>
      <c r="F97">
        <f t="shared" si="6"/>
        <v>-2.1090329847266172E-2</v>
      </c>
      <c r="G97">
        <v>77.754540000000006</v>
      </c>
      <c r="H97">
        <f>-1.454543</f>
        <v>-1.4545429999999999</v>
      </c>
      <c r="I97">
        <f t="shared" si="7"/>
        <v>-1.8706856217013179E-2</v>
      </c>
      <c r="J97">
        <v>767.05160000000001</v>
      </c>
      <c r="K97">
        <f>-34.25164</f>
        <v>-34.251640000000002</v>
      </c>
      <c r="L97">
        <f t="shared" si="9"/>
        <v>-4.4653632167640352E-2</v>
      </c>
      <c r="M97">
        <v>219.01519999999999</v>
      </c>
      <c r="N97">
        <f>-7.9852</f>
        <v>-7.9851999999999999</v>
      </c>
      <c r="O97">
        <f t="shared" si="8"/>
        <v>-3.6459569929393032E-2</v>
      </c>
    </row>
    <row r="98" spans="1:15" x14ac:dyDescent="0.25">
      <c r="A98">
        <v>7527.2359999999999</v>
      </c>
      <c r="B98">
        <f>-88.56606</f>
        <v>-88.566059999999993</v>
      </c>
      <c r="C98">
        <f t="shared" si="5"/>
        <v>-1.1766079873143341E-2</v>
      </c>
      <c r="D98">
        <v>413.24079999999998</v>
      </c>
      <c r="E98">
        <v>4.9992419999999997</v>
      </c>
      <c r="F98">
        <f t="shared" si="6"/>
        <v>1.209764863488794E-2</v>
      </c>
      <c r="G98">
        <v>76.348439999999997</v>
      </c>
      <c r="H98">
        <v>1.0715619999999999</v>
      </c>
      <c r="I98">
        <f t="shared" si="7"/>
        <v>1.4035152519160836E-2</v>
      </c>
      <c r="J98">
        <v>732.2097</v>
      </c>
      <c r="K98">
        <f>-8.939728</f>
        <v>-8.9397280000000006</v>
      </c>
      <c r="L98">
        <f t="shared" si="9"/>
        <v>-1.2209245520784551E-2</v>
      </c>
      <c r="M98">
        <v>210.54839999999999</v>
      </c>
      <c r="N98">
        <v>-8.8387300000000002E-2</v>
      </c>
      <c r="O98">
        <f t="shared" si="8"/>
        <v>-4.1979563843752793E-4</v>
      </c>
    </row>
    <row r="99" spans="1:15" x14ac:dyDescent="0.25">
      <c r="A99">
        <v>7397.3429999999998</v>
      </c>
      <c r="B99">
        <f>-366.2634</f>
        <v>-366.26339999999999</v>
      </c>
      <c r="C99">
        <f t="shared" si="5"/>
        <v>-4.9512831837052844E-2</v>
      </c>
      <c r="D99">
        <v>418.73129999999998</v>
      </c>
      <c r="E99">
        <f>-11.38128</f>
        <v>-11.38128</v>
      </c>
      <c r="F99">
        <f t="shared" si="6"/>
        <v>-2.7180389906367165E-2</v>
      </c>
      <c r="G99">
        <v>77.465350000000001</v>
      </c>
      <c r="H99">
        <f>-4.085344</f>
        <v>-4.0853440000000001</v>
      </c>
      <c r="I99">
        <f t="shared" si="7"/>
        <v>-5.2737694982337262E-2</v>
      </c>
      <c r="J99">
        <v>722.68740000000003</v>
      </c>
      <c r="K99">
        <f>-26.6174</f>
        <v>-26.6174</v>
      </c>
      <c r="L99">
        <f t="shared" si="9"/>
        <v>-3.683113888522202E-2</v>
      </c>
      <c r="M99">
        <v>210.0538</v>
      </c>
      <c r="N99">
        <f>-7.733758</f>
        <v>-7.7337579999999999</v>
      </c>
      <c r="O99">
        <f t="shared" si="8"/>
        <v>-3.6817986630091913E-2</v>
      </c>
    </row>
    <row r="100" spans="1:15" x14ac:dyDescent="0.25">
      <c r="A100">
        <v>6973.2719999999999</v>
      </c>
      <c r="B100">
        <v>89.667370000000005</v>
      </c>
      <c r="C100">
        <f t="shared" si="5"/>
        <v>1.2858722562378178E-2</v>
      </c>
      <c r="D100">
        <v>408.0609</v>
      </c>
      <c r="E100">
        <v>2.50915</v>
      </c>
      <c r="F100">
        <f t="shared" si="6"/>
        <v>6.1489596283299868E-3</v>
      </c>
      <c r="G100">
        <v>73.436509999999998</v>
      </c>
      <c r="H100">
        <v>1.623494</v>
      </c>
      <c r="I100">
        <f t="shared" si="7"/>
        <v>2.2107450367671339E-2</v>
      </c>
      <c r="J100">
        <v>695.50930000000005</v>
      </c>
      <c r="K100">
        <v>15.500690000000001</v>
      </c>
      <c r="L100">
        <f t="shared" si="9"/>
        <v>2.2286819169779613E-2</v>
      </c>
      <c r="M100">
        <v>202.10300000000001</v>
      </c>
      <c r="N100">
        <v>5.0570240000000002</v>
      </c>
      <c r="O100">
        <f t="shared" si="8"/>
        <v>2.5022013527755651E-2</v>
      </c>
    </row>
    <row r="101" spans="1:15" x14ac:dyDescent="0.25">
      <c r="A101">
        <v>7008.1710000000003</v>
      </c>
      <c r="B101">
        <f>-49.85129</f>
        <v>-49.851289999999999</v>
      </c>
      <c r="C101">
        <f t="shared" si="5"/>
        <v>-7.1133095924742701E-3</v>
      </c>
      <c r="D101">
        <v>411.20280000000002</v>
      </c>
      <c r="E101">
        <f>-4.402773</f>
        <v>-4.4027729999999998</v>
      </c>
      <c r="F101">
        <f t="shared" si="6"/>
        <v>-1.0707059874105914E-2</v>
      </c>
      <c r="G101">
        <v>75.111859999999993</v>
      </c>
      <c r="H101">
        <f>-1.111864</f>
        <v>-1.111864</v>
      </c>
      <c r="I101">
        <f t="shared" si="7"/>
        <v>-1.4802775487120143E-2</v>
      </c>
      <c r="J101">
        <v>710.43730000000005</v>
      </c>
      <c r="K101">
        <f>-17.80728</f>
        <v>-17.807279999999999</v>
      </c>
      <c r="L101">
        <f t="shared" si="9"/>
        <v>-2.5065237987926588E-2</v>
      </c>
      <c r="M101">
        <v>207.00839999999999</v>
      </c>
      <c r="N101">
        <f>-7.508369</f>
        <v>-7.5083690000000001</v>
      </c>
      <c r="O101">
        <f t="shared" si="8"/>
        <v>-3.6270842149400705E-2</v>
      </c>
    </row>
    <row r="102" spans="1:15" x14ac:dyDescent="0.25">
      <c r="A102">
        <v>6917.9309999999996</v>
      </c>
      <c r="B102">
        <f>-171.0807</f>
        <v>-171.08070000000001</v>
      </c>
      <c r="C102">
        <f t="shared" si="5"/>
        <v>-2.4730038504286907E-2</v>
      </c>
      <c r="D102">
        <v>407.48390000000001</v>
      </c>
      <c r="E102">
        <f>-27.59387</f>
        <v>-27.593869999999999</v>
      </c>
      <c r="F102">
        <f t="shared" si="6"/>
        <v>-6.7717693876985077E-2</v>
      </c>
      <c r="G102">
        <v>74.054789999999997</v>
      </c>
      <c r="H102">
        <f>-5.894793</f>
        <v>-5.8947929999999999</v>
      </c>
      <c r="I102">
        <f t="shared" si="7"/>
        <v>-7.9600428277495625E-2</v>
      </c>
      <c r="J102">
        <v>692.07209999999998</v>
      </c>
      <c r="K102">
        <f>-32.02208</f>
        <v>-32.022080000000003</v>
      </c>
      <c r="L102">
        <f t="shared" si="9"/>
        <v>-4.6269861189318286E-2</v>
      </c>
      <c r="M102">
        <v>199.3725</v>
      </c>
      <c r="N102">
        <f>-11.95252</f>
        <v>-11.95252</v>
      </c>
      <c r="O102">
        <f t="shared" si="8"/>
        <v>-5.9950695306524221E-2</v>
      </c>
    </row>
    <row r="103" spans="1:15" x14ac:dyDescent="0.25">
      <c r="A103">
        <v>6704.3050000000003</v>
      </c>
      <c r="B103">
        <f>-398.7451</f>
        <v>-398.74509999999998</v>
      </c>
      <c r="C103">
        <f t="shared" si="5"/>
        <v>-5.9475978494415153E-2</v>
      </c>
      <c r="D103">
        <v>380.83010000000002</v>
      </c>
      <c r="E103">
        <f>-23.86009</f>
        <v>-23.86009</v>
      </c>
      <c r="F103">
        <f t="shared" si="6"/>
        <v>-6.2652847030736272E-2</v>
      </c>
      <c r="G103">
        <v>68.230930000000001</v>
      </c>
      <c r="H103">
        <f>-5.760929</f>
        <v>-5.760929</v>
      </c>
      <c r="I103">
        <f t="shared" si="7"/>
        <v>-8.4432807818975941E-2</v>
      </c>
      <c r="J103">
        <v>659.51829999999995</v>
      </c>
      <c r="K103">
        <f>-68.99833</f>
        <v>-68.998329999999996</v>
      </c>
      <c r="L103">
        <f t="shared" si="9"/>
        <v>-0.10461928046575812</v>
      </c>
      <c r="M103">
        <v>187.09010000000001</v>
      </c>
      <c r="N103">
        <f>-13.61011</f>
        <v>-13.610110000000001</v>
      </c>
      <c r="O103">
        <f t="shared" si="8"/>
        <v>-7.2746286414941255E-2</v>
      </c>
    </row>
    <row r="104" spans="1:15" x14ac:dyDescent="0.25">
      <c r="A104">
        <v>6249.1559999999999</v>
      </c>
      <c r="B104">
        <v>322.26389999999998</v>
      </c>
      <c r="C104">
        <f t="shared" si="5"/>
        <v>5.1569187903134438E-2</v>
      </c>
      <c r="D104">
        <v>357.9436</v>
      </c>
      <c r="E104">
        <v>7.8364320000000003</v>
      </c>
      <c r="F104">
        <f t="shared" si="6"/>
        <v>2.1892923913152798E-2</v>
      </c>
      <c r="G104">
        <v>62.556649999999998</v>
      </c>
      <c r="H104">
        <v>1.423349</v>
      </c>
      <c r="I104">
        <f t="shared" si="7"/>
        <v>2.2752960716406648E-2</v>
      </c>
      <c r="J104">
        <v>590.04430000000002</v>
      </c>
      <c r="K104">
        <v>20.305669999999999</v>
      </c>
      <c r="L104">
        <f t="shared" si="9"/>
        <v>3.4413805878643344E-2</v>
      </c>
      <c r="M104">
        <v>173.05950000000001</v>
      </c>
      <c r="N104">
        <v>10.710459999999999</v>
      </c>
      <c r="O104">
        <f t="shared" si="8"/>
        <v>6.1888887925828973E-2</v>
      </c>
    </row>
    <row r="105" spans="1:15" x14ac:dyDescent="0.25">
      <c r="A105">
        <v>6530.8270000000002</v>
      </c>
      <c r="B105">
        <f>-345.0371</f>
        <v>-345.03710000000001</v>
      </c>
      <c r="C105">
        <f t="shared" si="5"/>
        <v>-5.2832068587944529E-2</v>
      </c>
      <c r="D105">
        <v>366.47309999999999</v>
      </c>
      <c r="E105">
        <f>-32.21308</f>
        <v>-32.213079999999998</v>
      </c>
      <c r="F105">
        <f t="shared" si="6"/>
        <v>-8.7900257890688296E-2</v>
      </c>
      <c r="G105">
        <v>64.062479999999994</v>
      </c>
      <c r="H105">
        <f>-4.572479</f>
        <v>-4.5724790000000004</v>
      </c>
      <c r="I105">
        <f t="shared" si="7"/>
        <v>-7.1375304234241335E-2</v>
      </c>
      <c r="J105">
        <v>609.85829999999999</v>
      </c>
      <c r="K105">
        <f>-37.96836</f>
        <v>-37.968359999999997</v>
      </c>
      <c r="L105">
        <f t="shared" si="9"/>
        <v>-6.2257675266533224E-2</v>
      </c>
      <c r="M105">
        <v>183.43870000000001</v>
      </c>
      <c r="N105">
        <f>-14.24873</f>
        <v>-14.24873</v>
      </c>
      <c r="O105">
        <f t="shared" si="8"/>
        <v>-7.7675703109540126E-2</v>
      </c>
    </row>
    <row r="106" spans="1:15" x14ac:dyDescent="0.25">
      <c r="A106">
        <v>6148.4960000000001</v>
      </c>
      <c r="B106">
        <v>135.15450000000001</v>
      </c>
      <c r="C106">
        <f t="shared" si="5"/>
        <v>2.1981717154894467E-2</v>
      </c>
      <c r="D106">
        <v>335.2894</v>
      </c>
      <c r="E106">
        <f>-14.46939</f>
        <v>-14.469390000000001</v>
      </c>
      <c r="F106">
        <f t="shared" si="6"/>
        <v>-4.3154928250043099E-2</v>
      </c>
      <c r="G106">
        <v>59.584879999999998</v>
      </c>
      <c r="H106">
        <f>-1.364884</f>
        <v>-1.364884</v>
      </c>
      <c r="I106">
        <f t="shared" si="7"/>
        <v>-2.2906549446772402E-2</v>
      </c>
      <c r="J106">
        <v>571.42930000000001</v>
      </c>
      <c r="K106">
        <f>-6.989341</f>
        <v>-6.9893409999999996</v>
      </c>
      <c r="L106">
        <f t="shared" si="9"/>
        <v>-1.2231331155052776E-2</v>
      </c>
      <c r="M106">
        <v>168.74770000000001</v>
      </c>
      <c r="N106">
        <f>-3.12769</f>
        <v>-3.1276899999999999</v>
      </c>
      <c r="O106">
        <f t="shared" si="8"/>
        <v>-1.8534711880517481E-2</v>
      </c>
    </row>
    <row r="107" spans="1:15" x14ac:dyDescent="0.25">
      <c r="A107">
        <v>6248.7190000000001</v>
      </c>
      <c r="B107">
        <v>92.641319999999993</v>
      </c>
      <c r="C107">
        <f t="shared" si="5"/>
        <v>1.4825649865196369E-2</v>
      </c>
      <c r="D107">
        <v>322.10419999999999</v>
      </c>
      <c r="E107">
        <f>-1.894259</f>
        <v>-1.8942589999999999</v>
      </c>
      <c r="F107">
        <f t="shared" si="6"/>
        <v>-5.8808888552213849E-3</v>
      </c>
      <c r="G107">
        <v>58.318390000000001</v>
      </c>
      <c r="H107">
        <v>1.1616070000000001</v>
      </c>
      <c r="I107">
        <f t="shared" si="7"/>
        <v>1.9918365373255333E-2</v>
      </c>
      <c r="J107">
        <v>563.98540000000003</v>
      </c>
      <c r="K107">
        <v>7.0346580000000003</v>
      </c>
      <c r="L107">
        <f t="shared" si="9"/>
        <v>1.2473120758090546E-2</v>
      </c>
      <c r="M107">
        <v>165.34549999999999</v>
      </c>
      <c r="N107">
        <v>2.7744610000000001</v>
      </c>
      <c r="O107">
        <f t="shared" si="8"/>
        <v>1.6779779310595089E-2</v>
      </c>
    </row>
    <row r="108" spans="1:15" x14ac:dyDescent="0.25">
      <c r="A108">
        <v>6313.34</v>
      </c>
      <c r="B108">
        <f>-25.68024</f>
        <v>-25.680240000000001</v>
      </c>
      <c r="C108">
        <f t="shared" si="5"/>
        <v>-4.0676155569001511E-3</v>
      </c>
      <c r="D108">
        <v>321.37049999999999</v>
      </c>
      <c r="E108">
        <f>-35.00051</f>
        <v>-35.000509999999998</v>
      </c>
      <c r="F108">
        <f t="shared" si="6"/>
        <v>-0.10891015198968169</v>
      </c>
      <c r="G108">
        <v>59.574910000000003</v>
      </c>
      <c r="H108">
        <f>-2.574912</f>
        <v>-2.5749119999999999</v>
      </c>
      <c r="I108">
        <f t="shared" si="7"/>
        <v>-4.322141653256379E-2</v>
      </c>
      <c r="J108">
        <v>570.56010000000003</v>
      </c>
      <c r="K108">
        <f>-35.58004</f>
        <v>-35.580039999999997</v>
      </c>
      <c r="L108">
        <f t="shared" si="9"/>
        <v>-6.235984605302753E-2</v>
      </c>
      <c r="M108">
        <v>168.15610000000001</v>
      </c>
      <c r="N108">
        <f>-23.06612</f>
        <v>-23.066120000000002</v>
      </c>
      <c r="O108">
        <f t="shared" si="8"/>
        <v>-0.13717087872518452</v>
      </c>
    </row>
    <row r="109" spans="1:15" x14ac:dyDescent="0.25">
      <c r="A109">
        <v>6267.0169999999998</v>
      </c>
      <c r="B109">
        <f>-45.59715</f>
        <v>-45.597149999999999</v>
      </c>
      <c r="C109">
        <f t="shared" si="5"/>
        <v>-7.2757342129437337E-3</v>
      </c>
      <c r="D109">
        <v>288.03809999999999</v>
      </c>
      <c r="E109">
        <f>-7.64804</f>
        <v>-7.6480399999999999</v>
      </c>
      <c r="F109">
        <f t="shared" si="6"/>
        <v>-2.6552181812058893E-2</v>
      </c>
      <c r="G109">
        <v>57.101759999999999</v>
      </c>
      <c r="H109">
        <f>-2.421764</f>
        <v>-2.421764</v>
      </c>
      <c r="I109">
        <f t="shared" si="7"/>
        <v>-4.2411372258928624E-2</v>
      </c>
      <c r="J109">
        <v>534.54909999999995</v>
      </c>
      <c r="K109">
        <f>-21.29907</f>
        <v>-21.29907</v>
      </c>
      <c r="L109">
        <f t="shared" si="9"/>
        <v>-3.9844927248030168E-2</v>
      </c>
      <c r="M109">
        <v>144.52279999999999</v>
      </c>
      <c r="N109">
        <f>-5.222792</f>
        <v>-5.2227920000000001</v>
      </c>
      <c r="O109">
        <f t="shared" si="8"/>
        <v>-3.6138187192609056E-2</v>
      </c>
    </row>
    <row r="110" spans="1:15" x14ac:dyDescent="0.25">
      <c r="A110">
        <v>6217.9440000000004</v>
      </c>
      <c r="B110">
        <v>76.285449999999997</v>
      </c>
      <c r="C110">
        <f t="shared" si="5"/>
        <v>1.2268597144007728E-2</v>
      </c>
      <c r="D110">
        <v>282.0951</v>
      </c>
      <c r="E110">
        <v>0.64494200000000002</v>
      </c>
      <c r="F110">
        <f t="shared" si="6"/>
        <v>2.2862573649808167E-3</v>
      </c>
      <c r="G110">
        <v>54.788170000000001</v>
      </c>
      <c r="H110">
        <v>-0.24817449999999999</v>
      </c>
      <c r="I110">
        <f t="shared" si="7"/>
        <v>-4.5297096070191795E-3</v>
      </c>
      <c r="J110">
        <v>512.8365</v>
      </c>
      <c r="K110">
        <v>3.3424200000000001E-2</v>
      </c>
      <c r="L110">
        <f t="shared" si="9"/>
        <v>6.5175158164444227E-5</v>
      </c>
      <c r="M110">
        <v>138.9092</v>
      </c>
      <c r="N110">
        <v>14.44078</v>
      </c>
      <c r="O110">
        <f t="shared" si="8"/>
        <v>0.10395841312166509</v>
      </c>
    </row>
    <row r="111" spans="1:15" x14ac:dyDescent="0.25">
      <c r="A111">
        <v>6281.6859999999997</v>
      </c>
      <c r="B111">
        <v>59.224600000000002</v>
      </c>
      <c r="C111">
        <f t="shared" si="5"/>
        <v>9.4281376050951941E-3</v>
      </c>
      <c r="D111">
        <v>284.08589999999998</v>
      </c>
      <c r="E111">
        <v>3.594122</v>
      </c>
      <c r="F111">
        <f t="shared" si="6"/>
        <v>1.2651532511821249E-2</v>
      </c>
      <c r="G111">
        <v>54.648560000000003</v>
      </c>
      <c r="H111">
        <v>0.68143860000000001</v>
      </c>
      <c r="I111">
        <f t="shared" si="7"/>
        <v>1.2469470375797641E-2</v>
      </c>
      <c r="J111">
        <v>512.45690000000002</v>
      </c>
      <c r="K111">
        <v>4.1031180000000003</v>
      </c>
      <c r="L111">
        <f t="shared" si="9"/>
        <v>8.0067572511951738E-3</v>
      </c>
      <c r="M111">
        <v>153.27549999999999</v>
      </c>
      <c r="N111">
        <f>-1.485546</f>
        <v>-1.485546</v>
      </c>
      <c r="O111">
        <f t="shared" si="8"/>
        <v>-9.6919990474668167E-3</v>
      </c>
    </row>
    <row r="112" spans="1:15" x14ac:dyDescent="0.25">
      <c r="A112">
        <v>6347.415</v>
      </c>
      <c r="B112">
        <v>236.01519999999999</v>
      </c>
      <c r="C112">
        <f t="shared" si="5"/>
        <v>3.7182884686128133E-2</v>
      </c>
      <c r="D112">
        <v>288.67930000000001</v>
      </c>
      <c r="E112">
        <v>28.110720000000001</v>
      </c>
      <c r="F112">
        <f t="shared" si="6"/>
        <v>9.7376985464492943E-2</v>
      </c>
      <c r="G112">
        <v>55.43638</v>
      </c>
      <c r="H112">
        <v>6.123621</v>
      </c>
      <c r="I112">
        <f t="shared" si="7"/>
        <v>0.11046213695771621</v>
      </c>
      <c r="J112">
        <v>516.14390000000003</v>
      </c>
      <c r="K112">
        <v>81.526089999999996</v>
      </c>
      <c r="L112">
        <f t="shared" si="9"/>
        <v>0.15795224936301677</v>
      </c>
      <c r="M112">
        <v>151.64019999999999</v>
      </c>
      <c r="N112">
        <v>14.759779999999999</v>
      </c>
      <c r="O112">
        <f t="shared" si="8"/>
        <v>9.7334216124747922E-2</v>
      </c>
    </row>
    <row r="113" spans="1:15" x14ac:dyDescent="0.25">
      <c r="A113">
        <v>6594.9459999999999</v>
      </c>
      <c r="B113">
        <f>-172.3761</f>
        <v>-172.37610000000001</v>
      </c>
      <c r="C113">
        <f t="shared" si="5"/>
        <v>-2.6137605978881404E-2</v>
      </c>
      <c r="D113">
        <v>317.49329999999998</v>
      </c>
      <c r="E113">
        <f>-21.82325</f>
        <v>-21.823250000000002</v>
      </c>
      <c r="F113">
        <f t="shared" si="6"/>
        <v>-6.8736096163289129E-2</v>
      </c>
      <c r="G113">
        <v>61.649169999999998</v>
      </c>
      <c r="H113">
        <f>-4.429165</f>
        <v>-4.4291650000000002</v>
      </c>
      <c r="I113">
        <f t="shared" si="7"/>
        <v>-7.1844681769438271E-2</v>
      </c>
      <c r="J113">
        <v>597.18859999999995</v>
      </c>
      <c r="K113">
        <f>-42.25858</f>
        <v>-42.258580000000002</v>
      </c>
      <c r="L113">
        <f t="shared" si="9"/>
        <v>-7.0762536324370573E-2</v>
      </c>
      <c r="M113">
        <v>166.94839999999999</v>
      </c>
      <c r="N113">
        <f>-14.72837</f>
        <v>-14.72837</v>
      </c>
      <c r="O113">
        <f t="shared" si="8"/>
        <v>-8.8221091067659227E-2</v>
      </c>
    </row>
    <row r="114" spans="1:15" x14ac:dyDescent="0.25">
      <c r="A114">
        <v>6425.2790000000005</v>
      </c>
      <c r="B114">
        <v>75.23048</v>
      </c>
      <c r="C114">
        <f t="shared" si="5"/>
        <v>1.1708515692470318E-2</v>
      </c>
      <c r="D114">
        <v>296.28300000000002</v>
      </c>
      <c r="E114">
        <v>5.0969939999999996</v>
      </c>
      <c r="F114">
        <f t="shared" si="6"/>
        <v>1.720312674031247E-2</v>
      </c>
      <c r="G114">
        <v>57.321159999999999</v>
      </c>
      <c r="H114">
        <v>0.58884349999999996</v>
      </c>
      <c r="I114">
        <f t="shared" si="7"/>
        <v>1.0272707321345206E-2</v>
      </c>
      <c r="J114">
        <v>554.48299999999995</v>
      </c>
      <c r="K114">
        <v>15.627000000000001</v>
      </c>
      <c r="L114">
        <f t="shared" si="9"/>
        <v>2.8183010119336396E-2</v>
      </c>
      <c r="M114">
        <v>152.62860000000001</v>
      </c>
      <c r="N114">
        <v>2.6813500000000001</v>
      </c>
      <c r="O114">
        <f t="shared" si="8"/>
        <v>1.7567808392398278E-2</v>
      </c>
    </row>
    <row r="115" spans="1:15" x14ac:dyDescent="0.25">
      <c r="A115">
        <v>6508.6369999999997</v>
      </c>
      <c r="B115">
        <f>-207.5673</f>
        <v>-207.56729999999999</v>
      </c>
      <c r="C115">
        <f t="shared" si="5"/>
        <v>-3.189105491672066E-2</v>
      </c>
      <c r="D115">
        <v>301.75080000000003</v>
      </c>
      <c r="E115">
        <f>-28.42082</f>
        <v>-28.420819999999999</v>
      </c>
      <c r="F115">
        <f t="shared" si="6"/>
        <v>-9.4186394866227346E-2</v>
      </c>
      <c r="G115">
        <v>58.009250000000002</v>
      </c>
      <c r="H115">
        <f>-4.23925</f>
        <v>-4.2392500000000002</v>
      </c>
      <c r="I115">
        <f t="shared" si="7"/>
        <v>-7.3078862422803259E-2</v>
      </c>
      <c r="J115">
        <v>569.6508</v>
      </c>
      <c r="K115">
        <f>-55.59077</f>
        <v>-55.590769999999999</v>
      </c>
      <c r="L115">
        <f t="shared" si="9"/>
        <v>-9.7587451821361429E-2</v>
      </c>
      <c r="M115">
        <v>155.50470000000001</v>
      </c>
      <c r="N115">
        <f>-12.96467</f>
        <v>-12.96467</v>
      </c>
      <c r="O115">
        <f t="shared" si="8"/>
        <v>-8.3371563689071768E-2</v>
      </c>
    </row>
    <row r="116" spans="1:15" x14ac:dyDescent="0.25">
      <c r="A116">
        <v>6304.4390000000003</v>
      </c>
      <c r="B116">
        <v>181.81039999999999</v>
      </c>
      <c r="C116">
        <f t="shared" si="5"/>
        <v>2.8838473970483332E-2</v>
      </c>
      <c r="D116">
        <v>274.08170000000001</v>
      </c>
      <c r="E116">
        <v>7.888293</v>
      </c>
      <c r="F116">
        <f t="shared" si="6"/>
        <v>2.8780808788036558E-2</v>
      </c>
      <c r="G116">
        <v>53.880690000000001</v>
      </c>
      <c r="H116">
        <v>2.7793109999999999</v>
      </c>
      <c r="I116">
        <f t="shared" si="7"/>
        <v>5.1582691312973161E-2</v>
      </c>
      <c r="J116">
        <v>513.64589999999998</v>
      </c>
      <c r="K116">
        <v>21.504079999999998</v>
      </c>
      <c r="L116">
        <f t="shared" si="9"/>
        <v>4.1865573150686106E-2</v>
      </c>
      <c r="M116">
        <v>142.53899999999999</v>
      </c>
      <c r="N116">
        <v>-0.82900260000000003</v>
      </c>
      <c r="O116">
        <f t="shared" si="8"/>
        <v>-5.8159703660050945E-3</v>
      </c>
    </row>
    <row r="117" spans="1:15" x14ac:dyDescent="0.25">
      <c r="A117">
        <v>6493.5320000000002</v>
      </c>
      <c r="B117">
        <f>-122.1916</f>
        <v>-122.19159999999999</v>
      </c>
      <c r="C117">
        <f t="shared" si="5"/>
        <v>-1.8817432485125195E-2</v>
      </c>
      <c r="D117">
        <v>282.19130000000001</v>
      </c>
      <c r="E117">
        <f>-10.44134</f>
        <v>-10.44134</v>
      </c>
      <c r="F117">
        <f t="shared" si="6"/>
        <v>-3.7000928093814375E-2</v>
      </c>
      <c r="G117">
        <v>56.762700000000002</v>
      </c>
      <c r="H117">
        <f>-1.572704</f>
        <v>-1.5727040000000001</v>
      </c>
      <c r="I117">
        <f t="shared" si="7"/>
        <v>-2.7706645385085629E-2</v>
      </c>
      <c r="J117">
        <v>534.71889999999996</v>
      </c>
      <c r="K117">
        <f>-15.59894</f>
        <v>-15.598940000000001</v>
      </c>
      <c r="L117">
        <f t="shared" si="9"/>
        <v>-2.9172224883017978E-2</v>
      </c>
      <c r="M117">
        <v>141.4151</v>
      </c>
      <c r="N117">
        <f>-4.695105</f>
        <v>-4.6951049999999999</v>
      </c>
      <c r="O117">
        <f t="shared" si="8"/>
        <v>-3.3200874588357257E-2</v>
      </c>
    </row>
    <row r="118" spans="1:15" x14ac:dyDescent="0.25">
      <c r="A118">
        <v>6372.0870000000004</v>
      </c>
      <c r="B118">
        <v>179.4333</v>
      </c>
      <c r="C118">
        <f t="shared" si="5"/>
        <v>2.8159267128650314E-2</v>
      </c>
      <c r="D118">
        <v>272.04020000000003</v>
      </c>
      <c r="E118">
        <v>6.0697799999999997</v>
      </c>
      <c r="F118">
        <f t="shared" si="6"/>
        <v>2.2312070054352259E-2</v>
      </c>
      <c r="G118">
        <v>55.296759999999999</v>
      </c>
      <c r="H118">
        <v>2.3032349999999999</v>
      </c>
      <c r="I118">
        <f t="shared" si="7"/>
        <v>4.1652259553724306E-2</v>
      </c>
      <c r="J118">
        <v>518.70180000000005</v>
      </c>
      <c r="K118">
        <v>12.84815</v>
      </c>
      <c r="L118">
        <f t="shared" si="9"/>
        <v>2.4769819576488841E-2</v>
      </c>
      <c r="M118">
        <v>136.608</v>
      </c>
      <c r="N118">
        <v>4.1419829999999997</v>
      </c>
      <c r="O118">
        <f t="shared" si="8"/>
        <v>3.0320208186929022E-2</v>
      </c>
    </row>
    <row r="119" spans="1:15" x14ac:dyDescent="0.25">
      <c r="A119">
        <v>6548.3969999999999</v>
      </c>
      <c r="B119">
        <v>171.553</v>
      </c>
      <c r="C119">
        <f t="shared" si="5"/>
        <v>2.6197709149277295E-2</v>
      </c>
      <c r="D119">
        <v>278.34070000000003</v>
      </c>
      <c r="E119">
        <v>4.9392940000000003</v>
      </c>
      <c r="F119">
        <f t="shared" si="6"/>
        <v>1.7745496795833308E-2</v>
      </c>
      <c r="G119">
        <v>57.700110000000002</v>
      </c>
      <c r="H119">
        <v>0.21989339999999999</v>
      </c>
      <c r="I119">
        <f t="shared" si="7"/>
        <v>3.8109702043895581E-3</v>
      </c>
      <c r="J119">
        <v>531.12180000000001</v>
      </c>
      <c r="K119">
        <v>3.8681649999999999</v>
      </c>
      <c r="L119">
        <f t="shared" si="9"/>
        <v>7.2830092833696524E-3</v>
      </c>
      <c r="M119">
        <v>140.65010000000001</v>
      </c>
      <c r="N119">
        <v>4.3298829999999997</v>
      </c>
      <c r="O119">
        <f t="shared" si="8"/>
        <v>3.0784784369154373E-2</v>
      </c>
    </row>
    <row r="120" spans="1:15" x14ac:dyDescent="0.25">
      <c r="A120">
        <v>6730.5389999999998</v>
      </c>
      <c r="B120">
        <v>24.10126</v>
      </c>
      <c r="C120">
        <f t="shared" si="5"/>
        <v>3.5808811151677453E-3</v>
      </c>
      <c r="D120">
        <v>283.4991</v>
      </c>
      <c r="E120">
        <f>-3.979103</f>
        <v>-3.9791029999999998</v>
      </c>
      <c r="F120">
        <f t="shared" si="6"/>
        <v>-1.4035681242021579E-2</v>
      </c>
      <c r="G120">
        <v>58.019219999999997</v>
      </c>
      <c r="H120">
        <v>3.0777599999999999E-2</v>
      </c>
      <c r="I120">
        <f t="shared" si="7"/>
        <v>5.3047248825475416E-4</v>
      </c>
      <c r="J120">
        <v>534.55909999999994</v>
      </c>
      <c r="K120">
        <v>1.930936</v>
      </c>
      <c r="L120">
        <f t="shared" si="9"/>
        <v>3.6122030286267694E-3</v>
      </c>
      <c r="M120">
        <v>145.19890000000001</v>
      </c>
      <c r="N120">
        <v>-0.2788832</v>
      </c>
      <c r="O120">
        <f t="shared" si="8"/>
        <v>-1.9206977463327888E-3</v>
      </c>
    </row>
    <row r="121" spans="1:15" x14ac:dyDescent="0.25">
      <c r="A121">
        <v>6763.0860000000002</v>
      </c>
      <c r="B121">
        <f>-52.28654</f>
        <v>-52.286540000000002</v>
      </c>
      <c r="C121">
        <f t="shared" si="5"/>
        <v>-7.7311659204097067E-3</v>
      </c>
      <c r="D121">
        <v>280.14449999999999</v>
      </c>
      <c r="E121">
        <f>-4.794507</f>
        <v>-4.7945070000000003</v>
      </c>
      <c r="F121">
        <f t="shared" si="6"/>
        <v>-1.7114407029229561E-2</v>
      </c>
      <c r="G121">
        <v>58.148859999999999</v>
      </c>
      <c r="H121">
        <v>-0.88886319999999996</v>
      </c>
      <c r="I121">
        <f t="shared" si="7"/>
        <v>-1.5285995288643663E-2</v>
      </c>
      <c r="J121">
        <v>536.05790000000002</v>
      </c>
      <c r="K121">
        <f>-13.03786</f>
        <v>-13.03786</v>
      </c>
      <c r="L121">
        <f t="shared" si="9"/>
        <v>-2.4321738379380287E-2</v>
      </c>
      <c r="M121">
        <v>145.15369999999999</v>
      </c>
      <c r="N121">
        <f>-3.293688</f>
        <v>-3.2936879999999999</v>
      </c>
      <c r="O121">
        <f t="shared" si="8"/>
        <v>-2.269103715578728E-2</v>
      </c>
    </row>
    <row r="122" spans="1:15" x14ac:dyDescent="0.25">
      <c r="A122">
        <v>6726.4669999999996</v>
      </c>
      <c r="B122">
        <v>164.61279999999999</v>
      </c>
      <c r="C122">
        <f t="shared" si="5"/>
        <v>2.4472401336392492E-2</v>
      </c>
      <c r="D122">
        <v>275.77589999999998</v>
      </c>
      <c r="E122">
        <v>10.874140000000001</v>
      </c>
      <c r="F122">
        <f t="shared" si="6"/>
        <v>3.9431074288942582E-2</v>
      </c>
      <c r="G122">
        <v>57.361049999999999</v>
      </c>
      <c r="H122">
        <v>2.868954</v>
      </c>
      <c r="I122">
        <f t="shared" si="7"/>
        <v>5.0015716239503988E-2</v>
      </c>
      <c r="J122">
        <v>522.59870000000001</v>
      </c>
      <c r="K122">
        <v>22.481290000000001</v>
      </c>
      <c r="L122">
        <f t="shared" si="9"/>
        <v>4.3018266214592572E-2</v>
      </c>
      <c r="M122">
        <v>142.13499999999999</v>
      </c>
      <c r="N122">
        <v>39.994970000000002</v>
      </c>
      <c r="O122">
        <f t="shared" si="8"/>
        <v>0.28138720230766529</v>
      </c>
    </row>
    <row r="123" spans="1:15" x14ac:dyDescent="0.25">
      <c r="A123">
        <v>6905.4449999999997</v>
      </c>
      <c r="B123">
        <v>186.26480000000001</v>
      </c>
      <c r="C123">
        <f t="shared" si="5"/>
        <v>2.6973612851887173E-2</v>
      </c>
      <c r="D123">
        <v>286.98869999999999</v>
      </c>
      <c r="E123">
        <v>9.1712480000000003</v>
      </c>
      <c r="F123">
        <f t="shared" si="6"/>
        <v>3.1956826174689111E-2</v>
      </c>
      <c r="G123">
        <v>60.322839999999999</v>
      </c>
      <c r="H123">
        <v>2.70716</v>
      </c>
      <c r="I123">
        <f t="shared" si="7"/>
        <v>4.4877860525134428E-2</v>
      </c>
      <c r="J123">
        <v>544.64089999999999</v>
      </c>
      <c r="K123">
        <v>19.76906</v>
      </c>
      <c r="L123">
        <f t="shared" si="9"/>
        <v>3.6297420924502735E-2</v>
      </c>
      <c r="M123">
        <v>183.03909999999999</v>
      </c>
      <c r="N123">
        <v>10.970929999999999</v>
      </c>
      <c r="O123">
        <f t="shared" si="8"/>
        <v>5.993763081221444E-2</v>
      </c>
    </row>
    <row r="124" spans="1:15" x14ac:dyDescent="0.25">
      <c r="A124">
        <v>7118.9790000000003</v>
      </c>
      <c r="B124">
        <f>-75.21866</f>
        <v>-75.21866</v>
      </c>
      <c r="C124">
        <f t="shared" si="5"/>
        <v>-1.0565933682344054E-2</v>
      </c>
      <c r="D124">
        <v>296.02659999999997</v>
      </c>
      <c r="E124">
        <f>-6.276618</f>
        <v>-6.276618</v>
      </c>
      <c r="F124">
        <f t="shared" si="6"/>
        <v>-2.1202885146132139E-2</v>
      </c>
      <c r="G124">
        <v>63.115099999999998</v>
      </c>
      <c r="H124">
        <f>-1.345104</f>
        <v>-1.3451040000000001</v>
      </c>
      <c r="I124">
        <f t="shared" si="7"/>
        <v>-2.1311920602201377E-2</v>
      </c>
      <c r="J124">
        <v>563.95540000000005</v>
      </c>
      <c r="K124">
        <f>-9.885366</f>
        <v>-9.8853659999999994</v>
      </c>
      <c r="L124">
        <f t="shared" si="9"/>
        <v>-1.7528630810166902E-2</v>
      </c>
      <c r="M124">
        <v>195.048</v>
      </c>
      <c r="N124">
        <f>-7.417996</f>
        <v>-7.4179959999999996</v>
      </c>
      <c r="O124">
        <f t="shared" si="8"/>
        <v>-3.80316434928838E-2</v>
      </c>
    </row>
    <row r="125" spans="1:15" x14ac:dyDescent="0.25">
      <c r="A125">
        <v>7061.116</v>
      </c>
      <c r="B125">
        <f>-87.14638</f>
        <v>-87.146379999999994</v>
      </c>
      <c r="C125">
        <f t="shared" si="5"/>
        <v>-1.2341728984483472E-2</v>
      </c>
      <c r="D125">
        <v>289.81020000000001</v>
      </c>
      <c r="E125">
        <f>-5.690228</f>
        <v>-5.6902280000000003</v>
      </c>
      <c r="F125">
        <f t="shared" si="6"/>
        <v>-1.9634326190037479E-2</v>
      </c>
      <c r="G125">
        <v>61.85859</v>
      </c>
      <c r="H125">
        <f>-1.438585</f>
        <v>-1.438585</v>
      </c>
      <c r="I125">
        <f t="shared" si="7"/>
        <v>-2.3256026365942064E-2</v>
      </c>
      <c r="J125">
        <v>553.62369999999999</v>
      </c>
      <c r="K125">
        <f>-15.0037</f>
        <v>-15.0037</v>
      </c>
      <c r="L125">
        <f t="shared" si="9"/>
        <v>-2.7100899040268689E-2</v>
      </c>
      <c r="M125">
        <v>188.5565</v>
      </c>
      <c r="N125">
        <f>-5.026488</f>
        <v>-5.0264879999999996</v>
      </c>
      <c r="O125">
        <f t="shared" si="8"/>
        <v>-2.6657728585331185E-2</v>
      </c>
    </row>
    <row r="126" spans="1:15" x14ac:dyDescent="0.25">
      <c r="A126">
        <v>6981.0940000000001</v>
      </c>
      <c r="B126">
        <v>63.715870000000002</v>
      </c>
      <c r="C126">
        <f t="shared" si="5"/>
        <v>9.12691764356704E-3</v>
      </c>
      <c r="D126">
        <v>284.13409999999999</v>
      </c>
      <c r="E126">
        <v>-0.63410710000000003</v>
      </c>
      <c r="F126">
        <f t="shared" si="6"/>
        <v>-2.2317176994947107E-3</v>
      </c>
      <c r="G126">
        <v>60.512309999999999</v>
      </c>
      <c r="H126">
        <v>1.2276849999999999</v>
      </c>
      <c r="I126">
        <f t="shared" si="7"/>
        <v>2.0288185990586047E-2</v>
      </c>
      <c r="J126">
        <v>538.18619999999999</v>
      </c>
      <c r="K126">
        <v>5.77386</v>
      </c>
      <c r="L126">
        <f t="shared" si="9"/>
        <v>1.0728368731862691E-2</v>
      </c>
      <c r="M126">
        <v>184.4426</v>
      </c>
      <c r="N126">
        <v>10.117419999999999</v>
      </c>
      <c r="O126">
        <f t="shared" si="8"/>
        <v>5.485403046801552E-2</v>
      </c>
    </row>
    <row r="127" spans="1:15" x14ac:dyDescent="0.25">
      <c r="A127">
        <v>7053.125</v>
      </c>
      <c r="B127">
        <v>136.45500000000001</v>
      </c>
      <c r="C127">
        <f t="shared" si="5"/>
        <v>1.9346743464776252E-2</v>
      </c>
      <c r="D127">
        <v>283.59989999999999</v>
      </c>
      <c r="E127">
        <v>11.850110000000001</v>
      </c>
      <c r="F127">
        <f t="shared" si="6"/>
        <v>4.1784605706842635E-2</v>
      </c>
      <c r="G127">
        <v>61.828670000000002</v>
      </c>
      <c r="H127">
        <v>4.151332</v>
      </c>
      <c r="I127">
        <f t="shared" si="7"/>
        <v>6.7142508483523905E-2</v>
      </c>
      <c r="J127">
        <v>543.52189999999996</v>
      </c>
      <c r="K127">
        <v>72.508160000000004</v>
      </c>
      <c r="L127">
        <f t="shared" si="9"/>
        <v>0.133404302568121</v>
      </c>
      <c r="M127">
        <v>194.89769999999999</v>
      </c>
      <c r="N127">
        <v>25.982340000000001</v>
      </c>
      <c r="O127">
        <f t="shared" si="8"/>
        <v>0.13331270712789325</v>
      </c>
    </row>
    <row r="128" spans="1:15" x14ac:dyDescent="0.25">
      <c r="A128">
        <v>7205.4579999999996</v>
      </c>
      <c r="B128">
        <v>73.571389999999994</v>
      </c>
      <c r="C128">
        <f t="shared" si="5"/>
        <v>1.0210508478433987E-2</v>
      </c>
      <c r="D128">
        <v>295.44720000000001</v>
      </c>
      <c r="E128">
        <v>-0.26722610000000002</v>
      </c>
      <c r="F128">
        <f t="shared" si="6"/>
        <v>-9.0448005599646911E-4</v>
      </c>
      <c r="G128">
        <v>66.056950000000001</v>
      </c>
      <c r="H128">
        <v>-0.23695260000000001</v>
      </c>
      <c r="I128">
        <f t="shared" si="7"/>
        <v>-3.5870956803182711E-3</v>
      </c>
      <c r="J128">
        <v>615.53380000000004</v>
      </c>
      <c r="K128">
        <v>32.796219999999998</v>
      </c>
      <c r="L128">
        <f t="shared" si="9"/>
        <v>5.328094086791009E-2</v>
      </c>
      <c r="M128">
        <v>221.45529999999999</v>
      </c>
      <c r="N128">
        <f>-8.30534</f>
        <v>-8.3053399999999993</v>
      </c>
      <c r="O128">
        <f t="shared" si="8"/>
        <v>-3.7503460066207486E-2</v>
      </c>
    </row>
    <row r="129" spans="1:15" x14ac:dyDescent="0.25">
      <c r="A129">
        <v>7290.31</v>
      </c>
      <c r="B129">
        <f>-27.31004</f>
        <v>-27.310040000000001</v>
      </c>
      <c r="C129">
        <f t="shared" si="5"/>
        <v>-3.7460738980921249E-3</v>
      </c>
      <c r="D129">
        <v>295.13529999999997</v>
      </c>
      <c r="E129">
        <f>-5.835322</f>
        <v>-5.8353219999999997</v>
      </c>
      <c r="F129">
        <f t="shared" si="6"/>
        <v>-1.9771684376623196E-2</v>
      </c>
      <c r="G129">
        <v>65.897390000000001</v>
      </c>
      <c r="H129">
        <v>-0.57739470000000004</v>
      </c>
      <c r="I129">
        <f t="shared" si="7"/>
        <v>-8.7620268420342592E-3</v>
      </c>
      <c r="J129">
        <v>647.80769999999995</v>
      </c>
      <c r="K129">
        <f>-20.48777</f>
        <v>-20.487770000000001</v>
      </c>
      <c r="L129">
        <f t="shared" si="9"/>
        <v>-3.162631441398428E-2</v>
      </c>
      <c r="M129">
        <v>213.71080000000001</v>
      </c>
      <c r="N129">
        <v>3.3492120000000001</v>
      </c>
      <c r="O129">
        <f t="shared" si="8"/>
        <v>1.5671702132040121E-2</v>
      </c>
    </row>
    <row r="130" spans="1:15" x14ac:dyDescent="0.25">
      <c r="A130">
        <v>7264.6890000000003</v>
      </c>
      <c r="B130">
        <v>96.771129999999999</v>
      </c>
      <c r="C130">
        <f t="shared" si="5"/>
        <v>1.3320753304098772E-2</v>
      </c>
      <c r="D130">
        <v>289.28609999999998</v>
      </c>
      <c r="E130">
        <f>-3.2361</f>
        <v>-3.2361</v>
      </c>
      <c r="F130">
        <f t="shared" si="6"/>
        <v>-1.1186503603180381E-2</v>
      </c>
      <c r="G130">
        <v>65.398769999999999</v>
      </c>
      <c r="H130">
        <v>2.2712240000000001</v>
      </c>
      <c r="I130">
        <f t="shared" si="7"/>
        <v>3.4728848875903939E-2</v>
      </c>
      <c r="J130">
        <v>626.81470000000002</v>
      </c>
      <c r="K130">
        <v>-0.61469209999999996</v>
      </c>
      <c r="L130">
        <f t="shared" si="9"/>
        <v>-9.8065999409394826E-4</v>
      </c>
      <c r="M130">
        <v>217.76820000000001</v>
      </c>
      <c r="N130">
        <f>-1.088193</f>
        <v>-1.088193</v>
      </c>
      <c r="O130">
        <f t="shared" si="8"/>
        <v>-4.9970243589284383E-3</v>
      </c>
    </row>
    <row r="131" spans="1:15" x14ac:dyDescent="0.25">
      <c r="A131">
        <v>7369.1040000000003</v>
      </c>
      <c r="B131">
        <f>-613.9638</f>
        <v>-613.96379999999999</v>
      </c>
      <c r="C131">
        <f t="shared" si="5"/>
        <v>-8.3315936374354332E-2</v>
      </c>
      <c r="D131">
        <v>286.2183</v>
      </c>
      <c r="E131">
        <f>-54.56826</f>
        <v>-54.568260000000002</v>
      </c>
      <c r="F131">
        <f t="shared" si="6"/>
        <v>-0.1906525892998456</v>
      </c>
      <c r="G131">
        <v>67.742289999999997</v>
      </c>
      <c r="H131">
        <f>-9.422283</f>
        <v>-9.4222830000000002</v>
      </c>
      <c r="I131">
        <f t="shared" si="7"/>
        <v>-0.1390901163807719</v>
      </c>
      <c r="J131">
        <v>625.69560000000001</v>
      </c>
      <c r="K131">
        <f>-95.7456</f>
        <v>-95.745599999999996</v>
      </c>
      <c r="L131">
        <f t="shared" si="9"/>
        <v>-0.15302265190933098</v>
      </c>
      <c r="M131">
        <v>217.17070000000001</v>
      </c>
      <c r="N131">
        <f>-42.33067</f>
        <v>-42.330669999999998</v>
      </c>
      <c r="O131">
        <f t="shared" si="8"/>
        <v>-0.19491888178285557</v>
      </c>
    </row>
    <row r="132" spans="1:15" x14ac:dyDescent="0.25">
      <c r="A132">
        <v>6742.4359999999997</v>
      </c>
      <c r="B132">
        <f>-213.5162</f>
        <v>-213.5162</v>
      </c>
      <c r="C132">
        <f t="shared" ref="C132:C195" si="10">B132/A132</f>
        <v>-3.1667516013500166E-2</v>
      </c>
      <c r="D132">
        <v>232.6867</v>
      </c>
      <c r="E132">
        <f>-3.156742</f>
        <v>-3.1567419999999999</v>
      </c>
      <c r="F132">
        <f t="shared" ref="F132:F195" si="11">E132/D132</f>
        <v>-1.3566490908161059E-2</v>
      </c>
      <c r="G132">
        <v>58.418120000000002</v>
      </c>
      <c r="H132">
        <f>-1.078117</f>
        <v>-1.078117</v>
      </c>
      <c r="I132">
        <f t="shared" ref="I132:I195" si="12">H132/G132</f>
        <v>-1.8455181371807239E-2</v>
      </c>
      <c r="J132">
        <v>529.5231</v>
      </c>
      <c r="K132">
        <f>-10.75312</f>
        <v>-10.753119999999999</v>
      </c>
      <c r="L132">
        <f t="shared" si="9"/>
        <v>-2.0307178289294649E-2</v>
      </c>
      <c r="M132">
        <v>174.08879999999999</v>
      </c>
      <c r="N132">
        <v>6.5811830000000002</v>
      </c>
      <c r="O132">
        <f t="shared" ref="O132:O195" si="13">N132/M132</f>
        <v>3.7803597933927978E-2</v>
      </c>
    </row>
    <row r="133" spans="1:15" x14ac:dyDescent="0.25">
      <c r="A133">
        <v>6504.2920000000004</v>
      </c>
      <c r="B133">
        <f>-44.12271</f>
        <v>-44.122709999999998</v>
      </c>
      <c r="C133">
        <f t="shared" si="10"/>
        <v>-6.7836299477329731E-3</v>
      </c>
      <c r="D133">
        <v>230.51830000000001</v>
      </c>
      <c r="E133">
        <f>-12.60828</f>
        <v>-12.608280000000001</v>
      </c>
      <c r="F133">
        <f t="shared" si="11"/>
        <v>-5.4695353904657462E-2</v>
      </c>
      <c r="G133">
        <v>57.440829999999998</v>
      </c>
      <c r="H133">
        <f>-1.310825</f>
        <v>-1.3108249999999999</v>
      </c>
      <c r="I133">
        <f t="shared" si="12"/>
        <v>-2.2820439746431241E-2</v>
      </c>
      <c r="J133">
        <v>518.35209999999995</v>
      </c>
      <c r="K133">
        <f>-16.53213</f>
        <v>-16.532129999999999</v>
      </c>
      <c r="L133">
        <f t="shared" ref="L133:L196" si="14">K133/J133</f>
        <v>-3.1893629831923127E-2</v>
      </c>
      <c r="M133">
        <v>180.1695</v>
      </c>
      <c r="N133">
        <v>7.5704950000000002</v>
      </c>
      <c r="O133">
        <f t="shared" si="13"/>
        <v>4.2018737910689656E-2</v>
      </c>
    </row>
    <row r="134" spans="1:15" x14ac:dyDescent="0.25">
      <c r="A134">
        <v>6426.4089999999997</v>
      </c>
      <c r="B134">
        <f>-203.0286</f>
        <v>-203.02860000000001</v>
      </c>
      <c r="C134">
        <f t="shared" si="10"/>
        <v>-3.1592853800621781E-2</v>
      </c>
      <c r="D134">
        <v>218.99080000000001</v>
      </c>
      <c r="E134">
        <f>-20.61079</f>
        <v>-20.610790000000001</v>
      </c>
      <c r="F134">
        <f t="shared" si="11"/>
        <v>-9.4117150126854648E-2</v>
      </c>
      <c r="G134">
        <v>56.234169999999999</v>
      </c>
      <c r="H134">
        <f>-2.964168</f>
        <v>-2.9641679999999999</v>
      </c>
      <c r="I134">
        <f t="shared" si="12"/>
        <v>-5.2711154090119942E-2</v>
      </c>
      <c r="J134">
        <v>501.41579999999999</v>
      </c>
      <c r="K134">
        <f>-26.78578</f>
        <v>-26.785779999999999</v>
      </c>
      <c r="L134">
        <f t="shared" si="14"/>
        <v>-5.342029509241631E-2</v>
      </c>
      <c r="M134">
        <v>187.28960000000001</v>
      </c>
      <c r="N134">
        <f>-1.339611</f>
        <v>-1.3396110000000001</v>
      </c>
      <c r="O134">
        <f t="shared" si="13"/>
        <v>-7.1526181912930564E-3</v>
      </c>
    </row>
    <row r="135" spans="1:15" x14ac:dyDescent="0.25">
      <c r="A135">
        <v>6176.4539999999997</v>
      </c>
      <c r="B135">
        <v>125.1161</v>
      </c>
      <c r="C135">
        <f t="shared" si="10"/>
        <v>2.0256946785323748E-2</v>
      </c>
      <c r="D135">
        <v>199.7236</v>
      </c>
      <c r="E135">
        <f>-1.873618</f>
        <v>-1.873618</v>
      </c>
      <c r="F135">
        <f t="shared" si="11"/>
        <v>-9.3810546174813592E-3</v>
      </c>
      <c r="G135">
        <v>53.382069999999999</v>
      </c>
      <c r="H135">
        <v>1.6079300000000001</v>
      </c>
      <c r="I135">
        <f t="shared" si="12"/>
        <v>3.0121162405279529E-2</v>
      </c>
      <c r="J135">
        <v>474.24770000000001</v>
      </c>
      <c r="K135">
        <v>9.9723159999999993</v>
      </c>
      <c r="L135">
        <f t="shared" si="14"/>
        <v>2.1027652848922617E-2</v>
      </c>
      <c r="M135">
        <v>185.4753</v>
      </c>
      <c r="N135">
        <v>8.4447329999999994</v>
      </c>
      <c r="O135">
        <f t="shared" si="13"/>
        <v>4.5530229631654456E-2</v>
      </c>
    </row>
    <row r="136" spans="1:15" x14ac:dyDescent="0.25">
      <c r="A136">
        <v>6258.3869999999997</v>
      </c>
      <c r="B136">
        <v>73.492940000000004</v>
      </c>
      <c r="C136">
        <f t="shared" si="10"/>
        <v>1.1743112083033537E-2</v>
      </c>
      <c r="D136">
        <v>199.346</v>
      </c>
      <c r="E136">
        <f>-1.166011</f>
        <v>-1.1660109999999999</v>
      </c>
      <c r="F136">
        <f t="shared" si="11"/>
        <v>-5.8491818245663312E-3</v>
      </c>
      <c r="G136">
        <v>55.097320000000003</v>
      </c>
      <c r="H136">
        <v>-0.48731799999999997</v>
      </c>
      <c r="I136">
        <f t="shared" si="12"/>
        <v>-8.8446770187733253E-3</v>
      </c>
      <c r="J136">
        <v>483.83</v>
      </c>
      <c r="K136">
        <f>-15.47996</f>
        <v>-15.47996</v>
      </c>
      <c r="L136">
        <f t="shared" si="14"/>
        <v>-3.1994626211685924E-2</v>
      </c>
      <c r="M136">
        <v>194.38570000000001</v>
      </c>
      <c r="N136">
        <v>7.8143099999999999</v>
      </c>
      <c r="O136">
        <f t="shared" si="13"/>
        <v>4.0200025001839126E-2</v>
      </c>
    </row>
    <row r="137" spans="1:15" x14ac:dyDescent="0.25">
      <c r="A137">
        <v>6285.4679999999998</v>
      </c>
      <c r="B137">
        <v>31.542179999999998</v>
      </c>
      <c r="C137">
        <f t="shared" si="10"/>
        <v>5.0182707158798676E-3</v>
      </c>
      <c r="D137">
        <v>199.66820000000001</v>
      </c>
      <c r="E137">
        <f>-14.24817</f>
        <v>-14.24817</v>
      </c>
      <c r="F137">
        <f t="shared" si="11"/>
        <v>-7.1359234970816574E-2</v>
      </c>
      <c r="G137">
        <v>54.71837</v>
      </c>
      <c r="H137">
        <f>-2.328368</f>
        <v>-2.3283680000000002</v>
      </c>
      <c r="I137">
        <f t="shared" si="12"/>
        <v>-4.2551852330396545E-2</v>
      </c>
      <c r="J137">
        <v>467.97269999999997</v>
      </c>
      <c r="K137">
        <f>-27.46274</f>
        <v>-27.46274</v>
      </c>
      <c r="L137">
        <f t="shared" si="14"/>
        <v>-5.8684491638080601E-2</v>
      </c>
      <c r="M137">
        <v>202.70050000000001</v>
      </c>
      <c r="N137">
        <f>-15.08047</f>
        <v>-15.08047</v>
      </c>
      <c r="O137">
        <f t="shared" si="13"/>
        <v>-7.4397793789359179E-2</v>
      </c>
    </row>
    <row r="138" spans="1:15" x14ac:dyDescent="0.25">
      <c r="A138">
        <v>6297.1319999999996</v>
      </c>
      <c r="B138">
        <v>57.107509999999998</v>
      </c>
      <c r="C138">
        <f t="shared" si="10"/>
        <v>9.0688125959563822E-3</v>
      </c>
      <c r="D138">
        <v>187.01339999999999</v>
      </c>
      <c r="E138">
        <f>-3.333425</f>
        <v>-3.3334250000000001</v>
      </c>
      <c r="F138">
        <f t="shared" si="11"/>
        <v>-1.7824524873618682E-2</v>
      </c>
      <c r="G138">
        <v>52.5045</v>
      </c>
      <c r="H138">
        <v>-0.6245018</v>
      </c>
      <c r="I138">
        <f t="shared" si="12"/>
        <v>-1.1894252873563218E-2</v>
      </c>
      <c r="J138">
        <v>440.15519999999998</v>
      </c>
      <c r="K138">
        <f>-6.615168</f>
        <v>-6.6151679999999997</v>
      </c>
      <c r="L138">
        <f t="shared" si="14"/>
        <v>-1.5029171528588098E-2</v>
      </c>
      <c r="M138">
        <v>187.72790000000001</v>
      </c>
      <c r="N138">
        <f>-2.287889</f>
        <v>-2.2878889999999998</v>
      </c>
      <c r="O138">
        <f t="shared" si="13"/>
        <v>-1.2187261456608207E-2</v>
      </c>
    </row>
    <row r="139" spans="1:15" x14ac:dyDescent="0.25">
      <c r="A139">
        <v>6345.9179999999997</v>
      </c>
      <c r="B139">
        <v>169.49160000000001</v>
      </c>
      <c r="C139">
        <f t="shared" si="10"/>
        <v>2.6708759867366708E-2</v>
      </c>
      <c r="D139">
        <v>185.25810000000001</v>
      </c>
      <c r="E139">
        <v>27.411940000000001</v>
      </c>
      <c r="F139">
        <f t="shared" si="11"/>
        <v>0.1479662157821979</v>
      </c>
      <c r="G139">
        <v>51.995910000000002</v>
      </c>
      <c r="H139">
        <v>2.6540889999999999</v>
      </c>
      <c r="I139">
        <f t="shared" si="12"/>
        <v>5.1044187898625103E-2</v>
      </c>
      <c r="J139">
        <v>433.19080000000002</v>
      </c>
      <c r="K139">
        <v>33.939219999999999</v>
      </c>
      <c r="L139">
        <f t="shared" si="14"/>
        <v>7.8347047074868614E-2</v>
      </c>
      <c r="M139">
        <v>185.5436</v>
      </c>
      <c r="N139">
        <v>7.506392</v>
      </c>
      <c r="O139">
        <f t="shared" si="13"/>
        <v>4.0456216220877465E-2</v>
      </c>
    </row>
    <row r="140" spans="1:15" x14ac:dyDescent="0.25">
      <c r="A140">
        <v>6516.4009999999998</v>
      </c>
      <c r="B140">
        <f>-7.000648</f>
        <v>-7.000648</v>
      </c>
      <c r="C140">
        <f t="shared" si="10"/>
        <v>-1.0743120320557313E-3</v>
      </c>
      <c r="D140">
        <v>213.18639999999999</v>
      </c>
      <c r="E140">
        <f>-3.376418</f>
        <v>-3.3764180000000001</v>
      </c>
      <c r="F140">
        <f t="shared" si="11"/>
        <v>-1.5837867706382774E-2</v>
      </c>
      <c r="G140">
        <v>54.75826</v>
      </c>
      <c r="H140">
        <v>1.5817429999999999</v>
      </c>
      <c r="I140">
        <f t="shared" si="12"/>
        <v>2.8885925155401209E-2</v>
      </c>
      <c r="J140">
        <v>466.75369999999998</v>
      </c>
      <c r="K140">
        <f>-19.17373</f>
        <v>-19.173729999999999</v>
      </c>
      <c r="L140">
        <f t="shared" si="14"/>
        <v>-4.1078903070291675E-2</v>
      </c>
      <c r="M140">
        <v>193.13570000000001</v>
      </c>
      <c r="N140">
        <f>-2.26565</f>
        <v>-2.2656499999999999</v>
      </c>
      <c r="O140">
        <f t="shared" si="13"/>
        <v>-1.173087109219062E-2</v>
      </c>
    </row>
    <row r="141" spans="1:15" x14ac:dyDescent="0.25">
      <c r="A141">
        <v>6520.7460000000001</v>
      </c>
      <c r="B141">
        <v>15.93444</v>
      </c>
      <c r="C141">
        <f t="shared" si="10"/>
        <v>2.4436529194665764E-3</v>
      </c>
      <c r="D141">
        <v>210.34030000000001</v>
      </c>
      <c r="E141">
        <v>12.45973</v>
      </c>
      <c r="F141">
        <f t="shared" si="11"/>
        <v>5.9236056999062946E-2</v>
      </c>
      <c r="G141">
        <v>56.44359</v>
      </c>
      <c r="H141">
        <v>0.13641200000000001</v>
      </c>
      <c r="I141">
        <f t="shared" si="12"/>
        <v>2.4167846162868097E-3</v>
      </c>
      <c r="J141">
        <v>447.21949999999998</v>
      </c>
      <c r="K141">
        <v>1.290527</v>
      </c>
      <c r="L141">
        <f t="shared" si="14"/>
        <v>2.8856679997182593E-3</v>
      </c>
      <c r="M141">
        <v>190.75890000000001</v>
      </c>
      <c r="N141">
        <v>1.1611</v>
      </c>
      <c r="O141">
        <f t="shared" si="13"/>
        <v>6.0867409069773415E-3</v>
      </c>
    </row>
    <row r="142" spans="1:15" x14ac:dyDescent="0.25">
      <c r="A142">
        <v>6545.585</v>
      </c>
      <c r="B142">
        <f>-31.52536</f>
        <v>-31.525359999999999</v>
      </c>
      <c r="C142">
        <f t="shared" si="10"/>
        <v>-4.816278453339159E-3</v>
      </c>
      <c r="D142">
        <v>223.0094</v>
      </c>
      <c r="E142">
        <f>-1.429406</f>
        <v>-1.429406</v>
      </c>
      <c r="F142">
        <f t="shared" si="11"/>
        <v>-6.4096221952975969E-3</v>
      </c>
      <c r="G142">
        <v>56.682929999999999</v>
      </c>
      <c r="H142">
        <v>0.33707520000000002</v>
      </c>
      <c r="I142">
        <f t="shared" si="12"/>
        <v>5.9466791854267242E-3</v>
      </c>
      <c r="J142">
        <v>448.14870000000002</v>
      </c>
      <c r="K142">
        <v>2.2312759999999998</v>
      </c>
      <c r="L142">
        <f t="shared" si="14"/>
        <v>4.978874199568134E-3</v>
      </c>
      <c r="M142">
        <v>192.1061</v>
      </c>
      <c r="N142">
        <v>1.1338900000000001</v>
      </c>
      <c r="O142">
        <f t="shared" si="13"/>
        <v>5.9024153839987385E-3</v>
      </c>
    </row>
    <row r="143" spans="1:15" x14ac:dyDescent="0.25">
      <c r="A143">
        <v>6520.7340000000004</v>
      </c>
      <c r="B143">
        <f>-239.8246</f>
        <v>-239.8246</v>
      </c>
      <c r="C143">
        <f t="shared" si="10"/>
        <v>-3.6778773677932572E-2</v>
      </c>
      <c r="D143">
        <v>221.5692</v>
      </c>
      <c r="E143">
        <f>-24.47923</f>
        <v>-24.479230000000001</v>
      </c>
      <c r="F143">
        <f t="shared" si="11"/>
        <v>-0.1104811950397438</v>
      </c>
      <c r="G143">
        <v>57.12171</v>
      </c>
      <c r="H143">
        <f>-4.831709</f>
        <v>-4.831709</v>
      </c>
      <c r="I143">
        <f t="shared" si="12"/>
        <v>-8.4586210741940324E-2</v>
      </c>
      <c r="J143">
        <v>450.0172</v>
      </c>
      <c r="K143">
        <f>-31.45722</f>
        <v>-31.45722</v>
      </c>
      <c r="L143">
        <f t="shared" si="14"/>
        <v>-6.9902261513559924E-2</v>
      </c>
      <c r="M143">
        <v>193.49109999999999</v>
      </c>
      <c r="N143">
        <f>-9.991084</f>
        <v>-9.9910840000000007</v>
      </c>
      <c r="O143">
        <f t="shared" si="13"/>
        <v>-5.1635884027740817E-2</v>
      </c>
    </row>
    <row r="144" spans="1:15" x14ac:dyDescent="0.25">
      <c r="A144">
        <v>6279.2250000000004</v>
      </c>
      <c r="B144">
        <v>92.624790000000004</v>
      </c>
      <c r="C144">
        <f t="shared" si="10"/>
        <v>1.4750990767172701E-2</v>
      </c>
      <c r="D144">
        <v>197.4118</v>
      </c>
      <c r="E144">
        <v>12.058199999999999</v>
      </c>
      <c r="F144">
        <f t="shared" si="11"/>
        <v>6.1081455110586089E-2</v>
      </c>
      <c r="G144">
        <v>52.404780000000002</v>
      </c>
      <c r="H144">
        <v>1.6152219999999999</v>
      </c>
      <c r="I144">
        <f t="shared" si="12"/>
        <v>3.0822035699796847E-2</v>
      </c>
      <c r="J144">
        <v>418.22280000000001</v>
      </c>
      <c r="K144">
        <v>14.96715</v>
      </c>
      <c r="L144">
        <f t="shared" si="14"/>
        <v>3.5787503694203186E-2</v>
      </c>
      <c r="M144">
        <v>183.43369999999999</v>
      </c>
      <c r="N144">
        <v>8.0763510000000007</v>
      </c>
      <c r="O144">
        <f t="shared" si="13"/>
        <v>4.4028719913516444E-2</v>
      </c>
    </row>
    <row r="145" spans="1:15" x14ac:dyDescent="0.25">
      <c r="A145">
        <v>6372.0209999999997</v>
      </c>
      <c r="B145">
        <v>26.829540000000001</v>
      </c>
      <c r="C145">
        <f t="shared" si="10"/>
        <v>4.2105228466761176E-3</v>
      </c>
      <c r="D145">
        <v>209.62440000000001</v>
      </c>
      <c r="E145">
        <v>0.66556349999999997</v>
      </c>
      <c r="F145">
        <f t="shared" si="11"/>
        <v>3.1750287657352863E-3</v>
      </c>
      <c r="G145">
        <v>54.13</v>
      </c>
      <c r="H145">
        <v>0.24000189999999999</v>
      </c>
      <c r="I145">
        <f t="shared" si="12"/>
        <v>4.4338056530574535E-3</v>
      </c>
      <c r="J145">
        <v>432.84109999999998</v>
      </c>
      <c r="K145">
        <f>-3.031064</f>
        <v>-3.0310640000000002</v>
      </c>
      <c r="L145">
        <f t="shared" si="14"/>
        <v>-7.0027176254750306E-3</v>
      </c>
      <c r="M145">
        <v>191.6268</v>
      </c>
      <c r="N145">
        <v>-0.21675249999999999</v>
      </c>
      <c r="O145">
        <f t="shared" si="13"/>
        <v>-1.1311178812149448E-3</v>
      </c>
    </row>
    <row r="146" spans="1:15" x14ac:dyDescent="0.25">
      <c r="A146">
        <v>6392.8590000000004</v>
      </c>
      <c r="B146">
        <v>121.0108</v>
      </c>
      <c r="C146">
        <f t="shared" si="10"/>
        <v>1.892905818820656E-2</v>
      </c>
      <c r="D146">
        <v>210.2782</v>
      </c>
      <c r="E146">
        <v>14.9718</v>
      </c>
      <c r="F146">
        <f t="shared" si="11"/>
        <v>7.1199962716059009E-2</v>
      </c>
      <c r="G146">
        <v>54.479030000000002</v>
      </c>
      <c r="H146">
        <v>2.3009689999999998</v>
      </c>
      <c r="I146">
        <f t="shared" si="12"/>
        <v>4.2235865800106936E-2</v>
      </c>
      <c r="J146">
        <v>429.46379999999999</v>
      </c>
      <c r="K146">
        <v>28.05621</v>
      </c>
      <c r="L146">
        <f t="shared" si="14"/>
        <v>6.5328463074186924E-2</v>
      </c>
      <c r="M146">
        <v>191.50489999999999</v>
      </c>
      <c r="N146">
        <v>9.0150819999999996</v>
      </c>
      <c r="O146">
        <f t="shared" si="13"/>
        <v>4.7074941685565225E-2</v>
      </c>
    </row>
    <row r="147" spans="1:15" x14ac:dyDescent="0.25">
      <c r="A147">
        <v>6512.6</v>
      </c>
      <c r="B147">
        <v>222.4502</v>
      </c>
      <c r="C147">
        <f t="shared" si="10"/>
        <v>3.4156895863403244E-2</v>
      </c>
      <c r="D147">
        <v>225.01</v>
      </c>
      <c r="E147">
        <v>22.330010000000001</v>
      </c>
      <c r="F147">
        <f t="shared" si="11"/>
        <v>9.924007821874585E-2</v>
      </c>
      <c r="G147">
        <v>56.882370000000002</v>
      </c>
      <c r="H147">
        <v>3.9276279999999999</v>
      </c>
      <c r="I147">
        <f t="shared" si="12"/>
        <v>6.9048248165468493E-2</v>
      </c>
      <c r="J147">
        <v>457.1515</v>
      </c>
      <c r="K147">
        <v>43.198529999999998</v>
      </c>
      <c r="L147">
        <f t="shared" si="14"/>
        <v>9.4494997828947297E-2</v>
      </c>
      <c r="M147">
        <v>200.75049999999999</v>
      </c>
      <c r="N147">
        <v>7.2494509999999996</v>
      </c>
      <c r="O147">
        <f t="shared" si="13"/>
        <v>3.6111745674356974E-2</v>
      </c>
    </row>
    <row r="148" spans="1:15" x14ac:dyDescent="0.25">
      <c r="A148">
        <v>6741.1210000000001</v>
      </c>
      <c r="B148">
        <f>-25.80103</f>
        <v>-25.801030000000001</v>
      </c>
      <c r="C148">
        <f t="shared" si="10"/>
        <v>-3.8274094175137934E-3</v>
      </c>
      <c r="D148">
        <v>247.14609999999999</v>
      </c>
      <c r="E148">
        <f>-6.156097</f>
        <v>-6.1560969999999999</v>
      </c>
      <c r="F148">
        <f t="shared" si="11"/>
        <v>-2.4908736168606345E-2</v>
      </c>
      <c r="G148">
        <v>60.901240000000001</v>
      </c>
      <c r="H148">
        <v>-0.35123729999999997</v>
      </c>
      <c r="I148">
        <f t="shared" si="12"/>
        <v>-5.7673259198006473E-3</v>
      </c>
      <c r="J148">
        <v>499.947</v>
      </c>
      <c r="K148">
        <f>-12.23697</f>
        <v>-12.236969999999999</v>
      </c>
      <c r="L148">
        <f t="shared" si="14"/>
        <v>-2.4476534512658341E-2</v>
      </c>
      <c r="M148">
        <v>208.5488</v>
      </c>
      <c r="N148">
        <f>-3.668789</f>
        <v>-3.6687889999999999</v>
      </c>
      <c r="O148">
        <f t="shared" si="13"/>
        <v>-1.7591992857307257E-2</v>
      </c>
    </row>
    <row r="149" spans="1:15" x14ac:dyDescent="0.25">
      <c r="A149">
        <v>6721.6390000000001</v>
      </c>
      <c r="B149">
        <f>-16.86876</f>
        <v>-16.868760000000002</v>
      </c>
      <c r="C149">
        <f t="shared" si="10"/>
        <v>-2.5096200495147093E-3</v>
      </c>
      <c r="D149">
        <v>240.8493</v>
      </c>
      <c r="E149">
        <v>3.9907170000000001</v>
      </c>
      <c r="F149">
        <f t="shared" si="11"/>
        <v>1.6569352703121827E-2</v>
      </c>
      <c r="G149">
        <v>60.641959999999997</v>
      </c>
      <c r="H149">
        <v>0.69804429999999995</v>
      </c>
      <c r="I149">
        <f t="shared" si="12"/>
        <v>1.1510912576044705E-2</v>
      </c>
      <c r="J149">
        <v>487.31709999999998</v>
      </c>
      <c r="K149">
        <v>0.60285169999999999</v>
      </c>
      <c r="L149">
        <f t="shared" si="14"/>
        <v>1.2370829999603953E-3</v>
      </c>
      <c r="M149">
        <v>205.22059999999999</v>
      </c>
      <c r="N149">
        <v>-0.1506014</v>
      </c>
      <c r="O149">
        <f t="shared" si="13"/>
        <v>-7.3385128003718928E-4</v>
      </c>
    </row>
    <row r="150" spans="1:15" x14ac:dyDescent="0.25">
      <c r="A150">
        <v>6721.1049999999996</v>
      </c>
      <c r="B150">
        <f>-117.4652</f>
        <v>-117.4652</v>
      </c>
      <c r="C150">
        <f t="shared" si="10"/>
        <v>-1.7477066643059438E-2</v>
      </c>
      <c r="D150">
        <v>244.80369999999999</v>
      </c>
      <c r="E150">
        <f>-16.47367</f>
        <v>-16.473669999999998</v>
      </c>
      <c r="F150">
        <f t="shared" si="11"/>
        <v>-6.7293386497017812E-2</v>
      </c>
      <c r="G150">
        <v>61.429769999999998</v>
      </c>
      <c r="H150">
        <f>-3.409773</f>
        <v>-3.4097729999999999</v>
      </c>
      <c r="I150">
        <f t="shared" si="12"/>
        <v>-5.5506849529145232E-2</v>
      </c>
      <c r="J150">
        <v>487.52699999999999</v>
      </c>
      <c r="K150">
        <f>-25.41698</f>
        <v>-25.416979999999999</v>
      </c>
      <c r="L150">
        <f t="shared" si="14"/>
        <v>-5.2134507422153031E-2</v>
      </c>
      <c r="M150">
        <v>205.41589999999999</v>
      </c>
      <c r="N150">
        <f>-7.585868</f>
        <v>-7.5858679999999996</v>
      </c>
      <c r="O150">
        <f t="shared" si="13"/>
        <v>-3.6929312677353603E-2</v>
      </c>
    </row>
    <row r="151" spans="1:15" x14ac:dyDescent="0.25">
      <c r="A151">
        <v>6611.9949999999999</v>
      </c>
      <c r="B151">
        <f>-159.2047</f>
        <v>-159.2047</v>
      </c>
      <c r="C151">
        <f t="shared" si="10"/>
        <v>-2.4078164003451304E-2</v>
      </c>
      <c r="D151">
        <v>228.50739999999999</v>
      </c>
      <c r="E151">
        <f>-9.857404</f>
        <v>-9.8574040000000007</v>
      </c>
      <c r="F151">
        <f t="shared" si="11"/>
        <v>-4.3138226595725131E-2</v>
      </c>
      <c r="G151">
        <v>58.118949999999998</v>
      </c>
      <c r="H151">
        <v>-0.66894609999999999</v>
      </c>
      <c r="I151">
        <f t="shared" si="12"/>
        <v>-1.1509948132235699E-2</v>
      </c>
      <c r="J151">
        <v>461.73779999999999</v>
      </c>
      <c r="K151">
        <f>-16.93777</f>
        <v>-16.93777</v>
      </c>
      <c r="L151">
        <f t="shared" si="14"/>
        <v>-3.6682658426492265E-2</v>
      </c>
      <c r="M151">
        <v>197.87389999999999</v>
      </c>
      <c r="N151">
        <f>-8.503906</f>
        <v>-8.5039060000000006</v>
      </c>
      <c r="O151">
        <f t="shared" si="13"/>
        <v>-4.2976390519416666E-2</v>
      </c>
    </row>
    <row r="152" spans="1:15" x14ac:dyDescent="0.25">
      <c r="A152">
        <v>6454.0990000000002</v>
      </c>
      <c r="B152">
        <v>41.191330000000001</v>
      </c>
      <c r="C152">
        <f t="shared" si="10"/>
        <v>6.3821968023731893E-3</v>
      </c>
      <c r="D152">
        <v>218.66409999999999</v>
      </c>
      <c r="E152">
        <f>-3.224128</f>
        <v>-3.2241279999999999</v>
      </c>
      <c r="F152">
        <f t="shared" si="11"/>
        <v>-1.474466087483039E-2</v>
      </c>
      <c r="G152">
        <v>57.550519999999999</v>
      </c>
      <c r="H152">
        <v>-0.100521</v>
      </c>
      <c r="I152">
        <f t="shared" si="12"/>
        <v>-1.7466566766034435E-3</v>
      </c>
      <c r="J152">
        <v>444.44170000000003</v>
      </c>
      <c r="K152">
        <v>70.328289999999996</v>
      </c>
      <c r="L152">
        <f t="shared" si="14"/>
        <v>0.15823962962971294</v>
      </c>
      <c r="M152">
        <v>189.1216</v>
      </c>
      <c r="N152">
        <f>-4.471558</f>
        <v>-4.4715579999999999</v>
      </c>
      <c r="O152">
        <f t="shared" si="13"/>
        <v>-2.3643824925339042E-2</v>
      </c>
    </row>
    <row r="153" spans="1:15" x14ac:dyDescent="0.25">
      <c r="A153">
        <v>6493.1009999999997</v>
      </c>
      <c r="B153">
        <v>185.64920000000001</v>
      </c>
      <c r="C153">
        <f t="shared" si="10"/>
        <v>2.8591762241184916E-2</v>
      </c>
      <c r="D153">
        <v>215.64879999999999</v>
      </c>
      <c r="E153">
        <v>13.391159999999999</v>
      </c>
      <c r="F153">
        <f t="shared" si="11"/>
        <v>6.2097076357484945E-2</v>
      </c>
      <c r="G153">
        <v>57.550519999999999</v>
      </c>
      <c r="H153">
        <v>5.6194790000000001</v>
      </c>
      <c r="I153">
        <f t="shared" si="12"/>
        <v>9.7644278453087832E-2</v>
      </c>
      <c r="J153">
        <v>514.35530000000006</v>
      </c>
      <c r="K153">
        <v>54.074649999999998</v>
      </c>
      <c r="L153">
        <f t="shared" si="14"/>
        <v>0.10513092797916147</v>
      </c>
      <c r="M153">
        <v>184.37790000000001</v>
      </c>
      <c r="N153">
        <v>9.8621529999999993</v>
      </c>
      <c r="O153">
        <f t="shared" si="13"/>
        <v>5.3488802074435161E-2</v>
      </c>
    </row>
    <row r="154" spans="1:15" x14ac:dyDescent="0.25">
      <c r="A154">
        <v>6673.7719999999999</v>
      </c>
      <c r="B154">
        <f>-30.67222</f>
        <v>-30.672219999999999</v>
      </c>
      <c r="C154">
        <f t="shared" si="10"/>
        <v>-4.5959346528469955E-3</v>
      </c>
      <c r="D154">
        <v>229.07050000000001</v>
      </c>
      <c r="E154">
        <f>-7.360531</f>
        <v>-7.3605309999999999</v>
      </c>
      <c r="F154">
        <f t="shared" si="11"/>
        <v>-3.2132164551961079E-2</v>
      </c>
      <c r="G154">
        <v>63.254710000000003</v>
      </c>
      <c r="H154">
        <f>-1.614717</f>
        <v>-1.614717</v>
      </c>
      <c r="I154">
        <f t="shared" si="12"/>
        <v>-2.5527221609268305E-2</v>
      </c>
      <c r="J154">
        <v>567.97209999999995</v>
      </c>
      <c r="K154">
        <f>-28.98213</f>
        <v>-28.982130000000002</v>
      </c>
      <c r="L154">
        <f t="shared" si="14"/>
        <v>-5.1027383211252816E-2</v>
      </c>
      <c r="M154">
        <v>194.1335</v>
      </c>
      <c r="N154">
        <f>-6.943552</f>
        <v>-6.9435520000000004</v>
      </c>
      <c r="O154">
        <f t="shared" si="13"/>
        <v>-3.5766892370456417E-2</v>
      </c>
    </row>
    <row r="155" spans="1:15" x14ac:dyDescent="0.25">
      <c r="A155">
        <v>6637.625</v>
      </c>
      <c r="B155">
        <f>-32.91454</f>
        <v>-32.914540000000002</v>
      </c>
      <c r="C155">
        <f t="shared" si="10"/>
        <v>-4.958782697124348E-3</v>
      </c>
      <c r="D155">
        <v>222.02359999999999</v>
      </c>
      <c r="E155">
        <v>9.3064079999999993</v>
      </c>
      <c r="F155">
        <f t="shared" si="11"/>
        <v>4.1916300789645783E-2</v>
      </c>
      <c r="G155">
        <v>61.728940000000001</v>
      </c>
      <c r="H155">
        <v>-9.8944000000000004E-2</v>
      </c>
      <c r="I155">
        <f t="shared" si="12"/>
        <v>-1.6028786497872796E-3</v>
      </c>
      <c r="J155">
        <v>538.55579999999998</v>
      </c>
      <c r="K155">
        <f>-1.995842</f>
        <v>-1.9958419999999999</v>
      </c>
      <c r="L155">
        <f t="shared" si="14"/>
        <v>-3.7059149673998497E-3</v>
      </c>
      <c r="M155">
        <v>187.09739999999999</v>
      </c>
      <c r="N155">
        <v>1.402555</v>
      </c>
      <c r="O155">
        <f t="shared" si="13"/>
        <v>7.4963895810417468E-3</v>
      </c>
    </row>
    <row r="156" spans="1:15" x14ac:dyDescent="0.25">
      <c r="A156">
        <v>6598.22</v>
      </c>
      <c r="B156">
        <v>21.629660000000001</v>
      </c>
      <c r="C156">
        <f t="shared" si="10"/>
        <v>3.2781053071889088E-3</v>
      </c>
      <c r="D156">
        <v>231.77860000000001</v>
      </c>
      <c r="E156">
        <v>1.4414340000000001</v>
      </c>
      <c r="F156">
        <f t="shared" si="11"/>
        <v>6.2190124541264815E-3</v>
      </c>
      <c r="G156">
        <v>61.718969999999999</v>
      </c>
      <c r="H156">
        <v>-0.61897159999999996</v>
      </c>
      <c r="I156">
        <f t="shared" si="12"/>
        <v>-1.0028871188226245E-2</v>
      </c>
      <c r="J156">
        <v>536.12779999999998</v>
      </c>
      <c r="K156">
        <f>-4.4878</f>
        <v>-4.4878</v>
      </c>
      <c r="L156">
        <f t="shared" si="14"/>
        <v>-8.3707653287145353E-3</v>
      </c>
      <c r="M156">
        <v>188.59229999999999</v>
      </c>
      <c r="N156">
        <f>-1.422273</f>
        <v>-1.4222729999999999</v>
      </c>
      <c r="O156">
        <f t="shared" si="13"/>
        <v>-7.5415221088029573E-3</v>
      </c>
    </row>
    <row r="157" spans="1:15" x14ac:dyDescent="0.25">
      <c r="A157">
        <v>6618.4679999999998</v>
      </c>
      <c r="B157">
        <f>-25.22815</f>
        <v>-25.228149999999999</v>
      </c>
      <c r="C157">
        <f t="shared" si="10"/>
        <v>-3.8117809136495031E-3</v>
      </c>
      <c r="D157">
        <v>233.56530000000001</v>
      </c>
      <c r="E157">
        <f>-2.465323</f>
        <v>-2.4653230000000002</v>
      </c>
      <c r="F157">
        <f t="shared" si="11"/>
        <v>-1.0555176646530971E-2</v>
      </c>
      <c r="G157">
        <v>61.190440000000002</v>
      </c>
      <c r="H157">
        <v>-0.89043609999999995</v>
      </c>
      <c r="I157">
        <f t="shared" si="12"/>
        <v>-1.4551882614343023E-2</v>
      </c>
      <c r="J157">
        <v>531.21180000000004</v>
      </c>
      <c r="K157">
        <v>-6.1762600000000001E-2</v>
      </c>
      <c r="L157">
        <f t="shared" si="14"/>
        <v>-1.1626737207268362E-4</v>
      </c>
      <c r="M157">
        <v>187.32900000000001</v>
      </c>
      <c r="N157">
        <v>-0.34900219999999998</v>
      </c>
      <c r="O157">
        <f t="shared" si="13"/>
        <v>-1.8630441629432708E-3</v>
      </c>
    </row>
    <row r="158" spans="1:15" x14ac:dyDescent="0.25">
      <c r="A158">
        <v>6597.5730000000003</v>
      </c>
      <c r="B158">
        <f>-43.7131</f>
        <v>-43.713099999999997</v>
      </c>
      <c r="C158">
        <f t="shared" si="10"/>
        <v>-6.6256333957956954E-3</v>
      </c>
      <c r="D158">
        <v>231.5214</v>
      </c>
      <c r="E158">
        <f>-5.111403</f>
        <v>-5.1114030000000001</v>
      </c>
      <c r="F158">
        <f t="shared" si="11"/>
        <v>-2.2077453747256195E-2</v>
      </c>
      <c r="G158">
        <v>60.392650000000003</v>
      </c>
      <c r="H158">
        <v>-0.81264639999999999</v>
      </c>
      <c r="I158">
        <f t="shared" si="12"/>
        <v>-1.3456048045581705E-2</v>
      </c>
      <c r="J158">
        <v>530.72220000000004</v>
      </c>
      <c r="K158">
        <v>0.91784270000000001</v>
      </c>
      <c r="L158">
        <f t="shared" si="14"/>
        <v>1.7294220969087028E-3</v>
      </c>
      <c r="M158">
        <v>186.95230000000001</v>
      </c>
      <c r="N158">
        <f>-4.952353</f>
        <v>-4.9523529999999996</v>
      </c>
      <c r="O158">
        <f t="shared" si="13"/>
        <v>-2.6489928179540982E-2</v>
      </c>
    </row>
    <row r="159" spans="1:15" x14ac:dyDescent="0.25">
      <c r="A159">
        <v>6554.7690000000002</v>
      </c>
      <c r="B159">
        <f>-56.85858</f>
        <v>-56.858580000000003</v>
      </c>
      <c r="C159">
        <f t="shared" si="10"/>
        <v>-8.6743834908598605E-3</v>
      </c>
      <c r="D159">
        <v>226.69589999999999</v>
      </c>
      <c r="E159">
        <f>-6.245918</f>
        <v>-6.2459179999999996</v>
      </c>
      <c r="F159">
        <f t="shared" si="11"/>
        <v>-2.7551967194819137E-2</v>
      </c>
      <c r="G159">
        <v>59.674639999999997</v>
      </c>
      <c r="H159">
        <f>-2.154636</f>
        <v>-2.154636</v>
      </c>
      <c r="I159">
        <f t="shared" si="12"/>
        <v>-3.6106392933413591E-2</v>
      </c>
      <c r="J159">
        <v>531.21180000000004</v>
      </c>
      <c r="K159">
        <f>-14.42176</f>
        <v>-14.421760000000001</v>
      </c>
      <c r="L159">
        <f t="shared" si="14"/>
        <v>-2.7148794510965305E-2</v>
      </c>
      <c r="M159">
        <v>182.01920000000001</v>
      </c>
      <c r="N159">
        <f>-4.369165</f>
        <v>-4.3691649999999997</v>
      </c>
      <c r="O159">
        <f t="shared" si="13"/>
        <v>-2.4003868822629698E-2</v>
      </c>
    </row>
    <row r="160" spans="1:15" x14ac:dyDescent="0.25">
      <c r="A160">
        <v>6488.45</v>
      </c>
      <c r="B160">
        <v>85.700010000000006</v>
      </c>
      <c r="C160">
        <f t="shared" si="10"/>
        <v>1.3208086677095455E-2</v>
      </c>
      <c r="D160">
        <v>220.70089999999999</v>
      </c>
      <c r="E160">
        <v>1.5690809999999999</v>
      </c>
      <c r="F160">
        <f t="shared" si="11"/>
        <v>7.109536028172065E-3</v>
      </c>
      <c r="G160">
        <v>57.620330000000003</v>
      </c>
      <c r="H160">
        <v>0.70967239999999998</v>
      </c>
      <c r="I160">
        <f t="shared" si="12"/>
        <v>1.2316354314527527E-2</v>
      </c>
      <c r="J160">
        <v>516.37369999999999</v>
      </c>
      <c r="K160">
        <f>-2.473724</f>
        <v>-2.4737239999999998</v>
      </c>
      <c r="L160">
        <f t="shared" si="14"/>
        <v>-4.790569310559387E-3</v>
      </c>
      <c r="M160">
        <v>177.56729999999999</v>
      </c>
      <c r="N160">
        <v>3.0926830000000001</v>
      </c>
      <c r="O160">
        <f t="shared" si="13"/>
        <v>1.7416962470004332E-2</v>
      </c>
    </row>
    <row r="161" spans="1:15" x14ac:dyDescent="0.25">
      <c r="A161">
        <v>6569.2349999999997</v>
      </c>
      <c r="B161">
        <v>53.215069999999997</v>
      </c>
      <c r="C161">
        <f t="shared" si="10"/>
        <v>8.1006494667948403E-3</v>
      </c>
      <c r="D161">
        <v>222.45679999999999</v>
      </c>
      <c r="E161">
        <v>5.0932389999999996</v>
      </c>
      <c r="F161">
        <f t="shared" si="11"/>
        <v>2.2895407108256525E-2</v>
      </c>
      <c r="G161">
        <v>58.428089999999997</v>
      </c>
      <c r="H161">
        <v>0.45191039999999999</v>
      </c>
      <c r="I161">
        <f t="shared" si="12"/>
        <v>7.7344715529807668E-3</v>
      </c>
      <c r="J161">
        <v>513.48599999999999</v>
      </c>
      <c r="K161">
        <v>6.433948</v>
      </c>
      <c r="L161">
        <f t="shared" si="14"/>
        <v>1.2529938498810095E-2</v>
      </c>
      <c r="M161">
        <v>180.6559</v>
      </c>
      <c r="N161">
        <v>1.6541129999999999</v>
      </c>
      <c r="O161">
        <f t="shared" si="13"/>
        <v>9.1561526637104016E-3</v>
      </c>
    </row>
    <row r="162" spans="1:15" x14ac:dyDescent="0.25">
      <c r="A162">
        <v>6621.1210000000001</v>
      </c>
      <c r="B162">
        <f>-30.44094</f>
        <v>-30.440940000000001</v>
      </c>
      <c r="C162">
        <f t="shared" si="10"/>
        <v>-4.5975507772777454E-3</v>
      </c>
      <c r="D162">
        <v>227.8288</v>
      </c>
      <c r="E162">
        <f>-2.388756</f>
        <v>-2.3887559999999999</v>
      </c>
      <c r="F162">
        <f t="shared" si="11"/>
        <v>-1.0484872851895808E-2</v>
      </c>
      <c r="G162">
        <v>58.976570000000002</v>
      </c>
      <c r="H162">
        <f>-1.04657</f>
        <v>-1.04657</v>
      </c>
      <c r="I162">
        <f t="shared" si="12"/>
        <v>-1.7745521653768605E-2</v>
      </c>
      <c r="J162">
        <v>519.50120000000004</v>
      </c>
      <c r="K162">
        <f>-9.871203</f>
        <v>-9.8712029999999995</v>
      </c>
      <c r="L162">
        <f t="shared" si="14"/>
        <v>-1.9001309332875457E-2</v>
      </c>
      <c r="M162">
        <v>182.33869999999999</v>
      </c>
      <c r="N162">
        <f>-1.628653</f>
        <v>-1.6286529999999999</v>
      </c>
      <c r="O162">
        <f t="shared" si="13"/>
        <v>-8.9320204652111705E-3</v>
      </c>
    </row>
    <row r="163" spans="1:15" x14ac:dyDescent="0.25">
      <c r="A163">
        <v>6587.4440000000004</v>
      </c>
      <c r="B163">
        <v>12.74569</v>
      </c>
      <c r="C163">
        <f t="shared" si="10"/>
        <v>1.9348460495451649E-3</v>
      </c>
      <c r="D163">
        <v>225.65899999999999</v>
      </c>
      <c r="E163">
        <v>0.85101210000000005</v>
      </c>
      <c r="F163">
        <f t="shared" si="11"/>
        <v>3.7712304849352343E-3</v>
      </c>
      <c r="G163">
        <v>58.02919</v>
      </c>
      <c r="H163">
        <v>0.20080519999999999</v>
      </c>
      <c r="I163">
        <f t="shared" si="12"/>
        <v>3.4604170763024608E-3</v>
      </c>
      <c r="J163">
        <v>509.21949999999998</v>
      </c>
      <c r="K163">
        <v>9.4905080000000002</v>
      </c>
      <c r="L163">
        <f t="shared" si="14"/>
        <v>1.8637361687837958E-2</v>
      </c>
      <c r="M163">
        <v>180.8056</v>
      </c>
      <c r="N163">
        <v>-0.45558419999999999</v>
      </c>
      <c r="O163">
        <f t="shared" si="13"/>
        <v>-2.5197460698119971E-3</v>
      </c>
    </row>
    <row r="164" spans="1:15" x14ac:dyDescent="0.25">
      <c r="A164">
        <v>6598.5119999999997</v>
      </c>
      <c r="B164">
        <v>54.567790000000002</v>
      </c>
      <c r="C164">
        <f t="shared" si="10"/>
        <v>8.2697114137247913E-3</v>
      </c>
      <c r="D164">
        <v>226.83090000000001</v>
      </c>
      <c r="E164">
        <v>2.8790499999999999</v>
      </c>
      <c r="F164">
        <f t="shared" si="11"/>
        <v>1.2692494717430473E-2</v>
      </c>
      <c r="G164">
        <v>58.32837</v>
      </c>
      <c r="H164">
        <v>1.121634</v>
      </c>
      <c r="I164">
        <f t="shared" si="12"/>
        <v>1.9229647596872672E-2</v>
      </c>
      <c r="J164">
        <v>518.29219999999998</v>
      </c>
      <c r="K164">
        <v>8.6078220000000005</v>
      </c>
      <c r="L164">
        <f t="shared" si="14"/>
        <v>1.6608048510087556E-2</v>
      </c>
      <c r="M164">
        <v>180.5224</v>
      </c>
      <c r="N164">
        <v>2.067631</v>
      </c>
      <c r="O164">
        <f t="shared" si="13"/>
        <v>1.145359800224238E-2</v>
      </c>
    </row>
    <row r="165" spans="1:15" x14ac:dyDescent="0.25">
      <c r="A165">
        <v>6655.21</v>
      </c>
      <c r="B165">
        <f>-14.92015</f>
        <v>-14.92015</v>
      </c>
      <c r="C165">
        <f t="shared" si="10"/>
        <v>-2.2418751624666989E-3</v>
      </c>
      <c r="D165">
        <v>230.00960000000001</v>
      </c>
      <c r="E165">
        <f>-2.389594</f>
        <v>-2.3895940000000002</v>
      </c>
      <c r="F165">
        <f t="shared" si="11"/>
        <v>-1.0389105498205292E-2</v>
      </c>
      <c r="G165">
        <v>59.544989999999999</v>
      </c>
      <c r="H165">
        <v>-0.88499499999999998</v>
      </c>
      <c r="I165">
        <f t="shared" si="12"/>
        <v>-1.4862627401566447E-2</v>
      </c>
      <c r="J165">
        <v>526.47559999999999</v>
      </c>
      <c r="K165">
        <f>-9.81558</f>
        <v>-9.8155800000000006</v>
      </c>
      <c r="L165">
        <f t="shared" si="14"/>
        <v>-1.8643940953768798E-2</v>
      </c>
      <c r="M165">
        <v>182.74440000000001</v>
      </c>
      <c r="N165">
        <f>-2.234392</f>
        <v>-2.2343920000000002</v>
      </c>
      <c r="O165">
        <f t="shared" si="13"/>
        <v>-1.2226869879460055E-2</v>
      </c>
    </row>
    <row r="166" spans="1:15" x14ac:dyDescent="0.25">
      <c r="A166">
        <v>6644.4269999999997</v>
      </c>
      <c r="B166">
        <f>-57.68678</f>
        <v>-57.686779999999999</v>
      </c>
      <c r="C166">
        <f t="shared" si="10"/>
        <v>-8.6819796500134626E-3</v>
      </c>
      <c r="D166">
        <v>227.9228</v>
      </c>
      <c r="E166">
        <f>-2.312792</f>
        <v>-2.312792</v>
      </c>
      <c r="F166">
        <f t="shared" si="11"/>
        <v>-1.014726038816652E-2</v>
      </c>
      <c r="G166">
        <v>58.757179999999998</v>
      </c>
      <c r="H166">
        <v>-0.77717780000000003</v>
      </c>
      <c r="I166">
        <f t="shared" si="12"/>
        <v>-1.3226941796730205E-2</v>
      </c>
      <c r="J166">
        <v>516.24379999999996</v>
      </c>
      <c r="K166">
        <f>-4.473829</f>
        <v>-4.4738290000000003</v>
      </c>
      <c r="L166">
        <f t="shared" si="14"/>
        <v>-8.6661166681323842E-3</v>
      </c>
      <c r="M166">
        <v>180.59610000000001</v>
      </c>
      <c r="N166">
        <f>-2.416128</f>
        <v>-2.4161280000000001</v>
      </c>
      <c r="O166">
        <f t="shared" si="13"/>
        <v>-1.3378627777676263E-2</v>
      </c>
    </row>
    <row r="167" spans="1:15" x14ac:dyDescent="0.25">
      <c r="A167">
        <v>6585.3950000000004</v>
      </c>
      <c r="B167">
        <f>-346.1452</f>
        <v>-346.14519999999999</v>
      </c>
      <c r="C167">
        <f t="shared" si="10"/>
        <v>-5.2562556991645901E-2</v>
      </c>
      <c r="D167">
        <v>225.8837</v>
      </c>
      <c r="E167">
        <f>-37.17369</f>
        <v>-37.173690000000001</v>
      </c>
      <c r="F167">
        <f t="shared" si="11"/>
        <v>-0.16457004201719735</v>
      </c>
      <c r="G167">
        <v>58.079059999999998</v>
      </c>
      <c r="H167">
        <f>-7.209057</f>
        <v>-7.2090569999999996</v>
      </c>
      <c r="I167">
        <f t="shared" si="12"/>
        <v>-0.12412489113976706</v>
      </c>
      <c r="J167">
        <v>511.3578</v>
      </c>
      <c r="K167">
        <f>-81.00777</f>
        <v>-81.007769999999994</v>
      </c>
      <c r="L167">
        <f t="shared" si="14"/>
        <v>-0.15841700273272452</v>
      </c>
      <c r="M167">
        <v>178.25559999999999</v>
      </c>
      <c r="N167">
        <f>-22.20557</f>
        <v>-22.205570000000002</v>
      </c>
      <c r="O167">
        <f t="shared" si="13"/>
        <v>-0.12457151416280893</v>
      </c>
    </row>
    <row r="168" spans="1:15" x14ac:dyDescent="0.25">
      <c r="A168">
        <v>6222.2960000000003</v>
      </c>
      <c r="B168">
        <v>55.78434</v>
      </c>
      <c r="C168">
        <f t="shared" si="10"/>
        <v>8.9652340550819172E-3</v>
      </c>
      <c r="D168">
        <v>189.4221</v>
      </c>
      <c r="E168">
        <v>6.9378599999999997</v>
      </c>
      <c r="F168">
        <f t="shared" si="11"/>
        <v>3.6626454885675959E-2</v>
      </c>
      <c r="G168">
        <v>50.988700000000001</v>
      </c>
      <c r="H168">
        <v>2.471298</v>
      </c>
      <c r="I168">
        <f t="shared" si="12"/>
        <v>4.8467562420693208E-2</v>
      </c>
      <c r="J168">
        <v>430.0034</v>
      </c>
      <c r="K168">
        <v>13.17665</v>
      </c>
      <c r="L168">
        <f t="shared" si="14"/>
        <v>3.064312979850857E-2</v>
      </c>
      <c r="M168">
        <v>155.74170000000001</v>
      </c>
      <c r="N168">
        <v>2.0583140000000002</v>
      </c>
      <c r="O168">
        <f t="shared" si="13"/>
        <v>1.3216203495916637E-2</v>
      </c>
    </row>
    <row r="169" spans="1:15" x14ac:dyDescent="0.25">
      <c r="A169">
        <v>6264.049</v>
      </c>
      <c r="B169">
        <v>24.44087</v>
      </c>
      <c r="C169">
        <f t="shared" si="10"/>
        <v>3.9017686483614673E-3</v>
      </c>
      <c r="D169">
        <v>196.98830000000001</v>
      </c>
      <c r="E169">
        <v>2.7016659999999999</v>
      </c>
      <c r="F169">
        <f t="shared" si="11"/>
        <v>1.3714855146219344E-2</v>
      </c>
      <c r="G169">
        <v>53.571539999999999</v>
      </c>
      <c r="H169">
        <v>-6.15454E-2</v>
      </c>
      <c r="I169">
        <f t="shared" si="12"/>
        <v>-1.1488450770689065E-3</v>
      </c>
      <c r="J169">
        <v>442.82299999999998</v>
      </c>
      <c r="K169">
        <v>5.3669820000000001</v>
      </c>
      <c r="L169">
        <f t="shared" si="14"/>
        <v>1.2119926020102841E-2</v>
      </c>
      <c r="M169">
        <v>157.47980000000001</v>
      </c>
      <c r="N169">
        <v>3.7302270000000002</v>
      </c>
      <c r="O169">
        <f t="shared" si="13"/>
        <v>2.3687018906551824E-2</v>
      </c>
    </row>
    <row r="170" spans="1:15" x14ac:dyDescent="0.25">
      <c r="A170">
        <v>6274.4369999999999</v>
      </c>
      <c r="B170">
        <v>18.20316</v>
      </c>
      <c r="C170">
        <f t="shared" si="10"/>
        <v>2.9011622875486677E-3</v>
      </c>
      <c r="D170">
        <v>200.33629999999999</v>
      </c>
      <c r="E170">
        <f>-5.066329</f>
        <v>-5.0663289999999996</v>
      </c>
      <c r="F170">
        <f t="shared" si="11"/>
        <v>-2.5289121342462646E-2</v>
      </c>
      <c r="G170">
        <v>53.621409999999997</v>
      </c>
      <c r="H170">
        <f>-1.451407</f>
        <v>-1.4514069999999999</v>
      </c>
      <c r="I170">
        <f t="shared" si="12"/>
        <v>-2.7067676885035287E-2</v>
      </c>
      <c r="J170">
        <v>447.82900000000001</v>
      </c>
      <c r="K170">
        <f>-9.178982</f>
        <v>-9.1789819999999995</v>
      </c>
      <c r="L170">
        <f t="shared" si="14"/>
        <v>-2.0496622594785061E-2</v>
      </c>
      <c r="M170">
        <v>160.9897</v>
      </c>
      <c r="N170">
        <f>-3.819741</f>
        <v>-3.8197410000000001</v>
      </c>
      <c r="O170">
        <f t="shared" si="13"/>
        <v>-2.3726617292907558E-2</v>
      </c>
    </row>
    <row r="171" spans="1:15" x14ac:dyDescent="0.25">
      <c r="A171">
        <v>6276.3829999999998</v>
      </c>
      <c r="B171">
        <v>325.0274</v>
      </c>
      <c r="C171">
        <f t="shared" si="10"/>
        <v>5.1785781715360586E-2</v>
      </c>
      <c r="D171">
        <v>195.95189999999999</v>
      </c>
      <c r="E171">
        <v>13.678100000000001</v>
      </c>
      <c r="F171">
        <f t="shared" si="11"/>
        <v>6.9803354802887851E-2</v>
      </c>
      <c r="G171">
        <v>52.285110000000003</v>
      </c>
      <c r="H171">
        <v>2.6848900000000002</v>
      </c>
      <c r="I171">
        <f t="shared" si="12"/>
        <v>5.1350948673532487E-2</v>
      </c>
      <c r="J171">
        <v>438.29669999999999</v>
      </c>
      <c r="K171">
        <v>21.023330000000001</v>
      </c>
      <c r="L171">
        <f t="shared" si="14"/>
        <v>4.7965978297349721E-2</v>
      </c>
      <c r="M171">
        <v>156.9229</v>
      </c>
      <c r="N171">
        <v>8.2870629999999998</v>
      </c>
      <c r="O171">
        <f t="shared" si="13"/>
        <v>5.2809774736510731E-2</v>
      </c>
    </row>
    <row r="172" spans="1:15" x14ac:dyDescent="0.25">
      <c r="A172">
        <v>6597.6760000000004</v>
      </c>
      <c r="B172">
        <f>-7.155693</f>
        <v>-7.1556930000000003</v>
      </c>
      <c r="C172">
        <f t="shared" si="10"/>
        <v>-1.0845778119446907E-3</v>
      </c>
      <c r="D172">
        <v>210.12610000000001</v>
      </c>
      <c r="E172">
        <v>9.3892000000000003E-2</v>
      </c>
      <c r="F172">
        <f t="shared" si="11"/>
        <v>4.46836447257147E-4</v>
      </c>
      <c r="G172">
        <v>55.077370000000002</v>
      </c>
      <c r="H172">
        <v>-0.81737329999999997</v>
      </c>
      <c r="I172">
        <f t="shared" si="12"/>
        <v>-1.4840456252722305E-2</v>
      </c>
      <c r="J172">
        <v>458.95</v>
      </c>
      <c r="K172">
        <v>-0.10001649999999999</v>
      </c>
      <c r="L172">
        <f t="shared" si="14"/>
        <v>-2.1792461052402222E-4</v>
      </c>
      <c r="M172">
        <v>165.52789999999999</v>
      </c>
      <c r="N172">
        <f>-2.317877</f>
        <v>-2.3178770000000002</v>
      </c>
      <c r="O172">
        <f t="shared" si="13"/>
        <v>-1.4002938477440965E-2</v>
      </c>
    </row>
    <row r="173" spans="1:15" x14ac:dyDescent="0.25">
      <c r="A173">
        <v>6588.759</v>
      </c>
      <c r="B173">
        <f>-46.42855</f>
        <v>-46.428550000000001</v>
      </c>
      <c r="C173">
        <f t="shared" si="10"/>
        <v>-7.0466304807931205E-3</v>
      </c>
      <c r="D173">
        <v>210.74680000000001</v>
      </c>
      <c r="E173">
        <f>-3.346784</f>
        <v>-3.346784</v>
      </c>
      <c r="F173">
        <f t="shared" si="11"/>
        <v>-1.5880592255730571E-2</v>
      </c>
      <c r="G173">
        <v>54.369340000000001</v>
      </c>
      <c r="H173">
        <v>-0.649335</v>
      </c>
      <c r="I173">
        <f t="shared" si="12"/>
        <v>-1.1943036277431361E-2</v>
      </c>
      <c r="J173">
        <v>458.48039999999997</v>
      </c>
      <c r="K173">
        <f>-9.260395</f>
        <v>-9.2603950000000008</v>
      </c>
      <c r="L173">
        <f t="shared" si="14"/>
        <v>-2.0198017188957262E-2</v>
      </c>
      <c r="M173">
        <v>163.45910000000001</v>
      </c>
      <c r="N173">
        <f>-3.589114</f>
        <v>-3.5891139999999999</v>
      </c>
      <c r="O173">
        <f t="shared" si="13"/>
        <v>-2.1957260256541239E-2</v>
      </c>
    </row>
    <row r="174" spans="1:15" x14ac:dyDescent="0.25">
      <c r="A174">
        <v>6554.241</v>
      </c>
      <c r="B174">
        <f>-76.17055</f>
        <v>-76.170550000000006</v>
      </c>
      <c r="C174">
        <f t="shared" si="10"/>
        <v>-1.1621566860297021E-2</v>
      </c>
      <c r="D174">
        <v>207.94040000000001</v>
      </c>
      <c r="E174">
        <f>-4.680451</f>
        <v>-4.6804509999999997</v>
      </c>
      <c r="F174">
        <f t="shared" si="11"/>
        <v>-2.2508617853961996E-2</v>
      </c>
      <c r="G174">
        <v>53.830829999999999</v>
      </c>
      <c r="H174">
        <f>-1.280827</f>
        <v>-1.2808269999999999</v>
      </c>
      <c r="I174">
        <f t="shared" si="12"/>
        <v>-2.3793558449683946E-2</v>
      </c>
      <c r="J174">
        <v>448.85820000000001</v>
      </c>
      <c r="K174">
        <f>-10.54815</f>
        <v>-10.54815</v>
      </c>
      <c r="L174">
        <f t="shared" si="14"/>
        <v>-2.3499960566611012E-2</v>
      </c>
      <c r="M174">
        <v>159.995</v>
      </c>
      <c r="N174">
        <f>-5.594963</f>
        <v>-5.5949629999999999</v>
      </c>
      <c r="O174">
        <f t="shared" si="13"/>
        <v>-3.4969611550360949E-2</v>
      </c>
    </row>
    <row r="175" spans="1:15" x14ac:dyDescent="0.25">
      <c r="A175">
        <v>6485.7569999999996</v>
      </c>
      <c r="B175">
        <f>-24.83711</f>
        <v>-24.837109999999999</v>
      </c>
      <c r="C175">
        <f t="shared" si="10"/>
        <v>-3.8294851318049689E-3</v>
      </c>
      <c r="D175">
        <v>203.83340000000001</v>
      </c>
      <c r="E175">
        <v>-0.32336199999999998</v>
      </c>
      <c r="F175">
        <f t="shared" si="11"/>
        <v>-1.5864034059187551E-3</v>
      </c>
      <c r="G175">
        <v>52.664059999999999</v>
      </c>
      <c r="H175">
        <v>0.40594019999999997</v>
      </c>
      <c r="I175">
        <f t="shared" si="12"/>
        <v>7.7081068189577481E-3</v>
      </c>
      <c r="J175">
        <v>437.95690000000002</v>
      </c>
      <c r="K175">
        <v>2.9130600000000002</v>
      </c>
      <c r="L175">
        <f t="shared" si="14"/>
        <v>6.651476435238262E-3</v>
      </c>
      <c r="M175">
        <v>154.50559999999999</v>
      </c>
      <c r="N175">
        <f>-1.455593</f>
        <v>-1.4555929999999999</v>
      </c>
      <c r="O175">
        <f t="shared" si="13"/>
        <v>-9.4209724437172501E-3</v>
      </c>
    </row>
    <row r="176" spans="1:15" x14ac:dyDescent="0.25">
      <c r="A176">
        <v>6467.4780000000001</v>
      </c>
      <c r="B176">
        <v>22.61215</v>
      </c>
      <c r="C176">
        <f t="shared" si="10"/>
        <v>3.4962855691198329E-3</v>
      </c>
      <c r="D176">
        <v>203.63200000000001</v>
      </c>
      <c r="E176">
        <v>1.758013</v>
      </c>
      <c r="F176">
        <f t="shared" si="11"/>
        <v>8.6332845525261253E-3</v>
      </c>
      <c r="G176">
        <v>53.18262</v>
      </c>
      <c r="H176">
        <v>0.24737700000000001</v>
      </c>
      <c r="I176">
        <f t="shared" si="12"/>
        <v>4.6514632035804179E-3</v>
      </c>
      <c r="J176">
        <v>440.51490000000001</v>
      </c>
      <c r="K176">
        <v>7.0251219999999996</v>
      </c>
      <c r="L176">
        <f t="shared" si="14"/>
        <v>1.5947524135959984E-2</v>
      </c>
      <c r="M176">
        <v>152.97810000000001</v>
      </c>
      <c r="N176">
        <v>1.781914</v>
      </c>
      <c r="O176">
        <f t="shared" si="13"/>
        <v>1.1648164018248362E-2</v>
      </c>
    </row>
    <row r="177" spans="1:15" x14ac:dyDescent="0.25">
      <c r="A177">
        <v>6497.5910000000003</v>
      </c>
      <c r="B177">
        <f>-11.54134</f>
        <v>-11.54134</v>
      </c>
      <c r="C177">
        <f t="shared" si="10"/>
        <v>-1.7762490744646746E-3</v>
      </c>
      <c r="D177">
        <v>205.5788</v>
      </c>
      <c r="E177">
        <v>-0.40882289999999999</v>
      </c>
      <c r="F177">
        <f t="shared" si="11"/>
        <v>-1.9886432842296966E-3</v>
      </c>
      <c r="G177">
        <v>53.541629999999998</v>
      </c>
      <c r="H177">
        <v>-0.76162830000000004</v>
      </c>
      <c r="I177">
        <f t="shared" si="12"/>
        <v>-1.422497409959316E-2</v>
      </c>
      <c r="J177">
        <v>447.17950000000002</v>
      </c>
      <c r="K177">
        <v>1.0494699999999999E-2</v>
      </c>
      <c r="L177">
        <f t="shared" si="14"/>
        <v>2.3468651850095988E-5</v>
      </c>
      <c r="M177">
        <v>154.75649999999999</v>
      </c>
      <c r="N177">
        <v>-0.3665061</v>
      </c>
      <c r="O177">
        <f t="shared" si="13"/>
        <v>-2.3682759690223029E-3</v>
      </c>
    </row>
    <row r="178" spans="1:15" x14ac:dyDescent="0.25">
      <c r="A178">
        <v>6479.5889999999999</v>
      </c>
      <c r="B178">
        <f>-7.229017</f>
        <v>-7.2290169999999998</v>
      </c>
      <c r="C178">
        <f t="shared" si="10"/>
        <v>-1.1156598049660248E-3</v>
      </c>
      <c r="D178">
        <v>205.4023</v>
      </c>
      <c r="E178">
        <f>-1.38229</f>
        <v>-1.38229</v>
      </c>
      <c r="F178">
        <f t="shared" si="11"/>
        <v>-6.7296714788490685E-3</v>
      </c>
      <c r="G178">
        <v>52.893419999999999</v>
      </c>
      <c r="H178">
        <v>-0.65342429999999996</v>
      </c>
      <c r="I178">
        <f t="shared" si="12"/>
        <v>-1.2353602773275012E-2</v>
      </c>
      <c r="J178">
        <v>446.82979999999998</v>
      </c>
      <c r="K178">
        <v>0.34021269999999998</v>
      </c>
      <c r="L178">
        <f t="shared" si="14"/>
        <v>7.6139214528663933E-4</v>
      </c>
      <c r="M178">
        <v>154.44380000000001</v>
      </c>
      <c r="N178">
        <f>-2.753811</f>
        <v>-2.7538109999999998</v>
      </c>
      <c r="O178">
        <f t="shared" si="13"/>
        <v>-1.7830505335921544E-2</v>
      </c>
    </row>
    <row r="179" spans="1:15" x14ac:dyDescent="0.25">
      <c r="A179">
        <v>6465.8559999999998</v>
      </c>
      <c r="B179">
        <v>13.033939999999999</v>
      </c>
      <c r="C179">
        <f t="shared" si="10"/>
        <v>2.0158104356174959E-3</v>
      </c>
      <c r="D179">
        <v>204.21459999999999</v>
      </c>
      <c r="E179">
        <v>-8.4556500000000007E-2</v>
      </c>
      <c r="F179">
        <f t="shared" si="11"/>
        <v>-4.1405707525318959E-4</v>
      </c>
      <c r="G179">
        <v>52.35492</v>
      </c>
      <c r="H179">
        <v>0.1050837</v>
      </c>
      <c r="I179">
        <f t="shared" si="12"/>
        <v>2.0071408761583439E-3</v>
      </c>
      <c r="J179">
        <v>446.8098</v>
      </c>
      <c r="K179">
        <f>-5.539804</f>
        <v>-5.5398040000000002</v>
      </c>
      <c r="L179">
        <f t="shared" si="14"/>
        <v>-1.2398573173641222E-2</v>
      </c>
      <c r="M179">
        <v>151.80070000000001</v>
      </c>
      <c r="N179">
        <v>1.669316</v>
      </c>
      <c r="O179">
        <f t="shared" si="13"/>
        <v>1.099676088450185E-2</v>
      </c>
    </row>
    <row r="180" spans="1:15" x14ac:dyDescent="0.25">
      <c r="A180">
        <v>6474.7929999999997</v>
      </c>
      <c r="B180">
        <v>9.8564869999999996</v>
      </c>
      <c r="C180">
        <f t="shared" si="10"/>
        <v>1.5222860406502571E-3</v>
      </c>
      <c r="D180">
        <v>204.4973</v>
      </c>
      <c r="E180">
        <v>-0.62734400000000001</v>
      </c>
      <c r="F180">
        <f t="shared" si="11"/>
        <v>-3.0677373246492741E-3</v>
      </c>
      <c r="G180">
        <v>52.574309999999997</v>
      </c>
      <c r="H180">
        <v>-8.4308400000000006E-2</v>
      </c>
      <c r="I180">
        <f t="shared" si="12"/>
        <v>-1.6036044980904174E-3</v>
      </c>
      <c r="J180">
        <v>440.91460000000001</v>
      </c>
      <c r="K180">
        <v>1.265444</v>
      </c>
      <c r="L180">
        <f t="shared" si="14"/>
        <v>2.8700433145103384E-3</v>
      </c>
      <c r="M180">
        <v>153.6379</v>
      </c>
      <c r="N180">
        <v>2.3520829999999999</v>
      </c>
      <c r="O180">
        <f t="shared" si="13"/>
        <v>1.5309262883702523E-2</v>
      </c>
    </row>
    <row r="181" spans="1:15" x14ac:dyDescent="0.25">
      <c r="A181">
        <v>6483.65</v>
      </c>
      <c r="B181">
        <f>-15.2097</f>
        <v>-15.2097</v>
      </c>
      <c r="C181">
        <f t="shared" si="10"/>
        <v>-2.3458545726558343E-3</v>
      </c>
      <c r="D181">
        <v>204.24809999999999</v>
      </c>
      <c r="E181">
        <f>-1.908105</f>
        <v>-1.9081049999999999</v>
      </c>
      <c r="F181">
        <f t="shared" si="11"/>
        <v>-9.3420942471435474E-3</v>
      </c>
      <c r="G181">
        <v>52.604230000000001</v>
      </c>
      <c r="H181">
        <v>-0.3842255</v>
      </c>
      <c r="I181">
        <f t="shared" si="12"/>
        <v>-7.3040799190483346E-3</v>
      </c>
      <c r="J181">
        <v>441.82380000000001</v>
      </c>
      <c r="K181">
        <f>-2.703823</f>
        <v>-2.7038229999999999</v>
      </c>
      <c r="L181">
        <f t="shared" si="14"/>
        <v>-6.1196861735379575E-3</v>
      </c>
      <c r="M181">
        <v>156.16970000000001</v>
      </c>
      <c r="N181">
        <f>-1.399731</f>
        <v>-1.3997310000000001</v>
      </c>
      <c r="O181">
        <f t="shared" si="13"/>
        <v>-8.9628846056565396E-3</v>
      </c>
    </row>
    <row r="182" spans="1:15" x14ac:dyDescent="0.25">
      <c r="A182">
        <v>6467.5789999999997</v>
      </c>
      <c r="B182">
        <v>13.260899999999999</v>
      </c>
      <c r="C182">
        <f t="shared" si="10"/>
        <v>2.0503653685559928E-3</v>
      </c>
      <c r="D182">
        <v>202.70500000000001</v>
      </c>
      <c r="E182">
        <v>0.65494640000000004</v>
      </c>
      <c r="F182">
        <f t="shared" si="11"/>
        <v>3.2310322883007327E-3</v>
      </c>
      <c r="G182">
        <v>52.334969999999998</v>
      </c>
      <c r="H182">
        <v>-0.2049716</v>
      </c>
      <c r="I182">
        <f t="shared" si="12"/>
        <v>-3.9165322918881963E-3</v>
      </c>
      <c r="J182">
        <v>438.7663</v>
      </c>
      <c r="K182">
        <v>-0.16628770000000001</v>
      </c>
      <c r="L182">
        <f t="shared" si="14"/>
        <v>-3.7898922501568603E-4</v>
      </c>
      <c r="M182">
        <v>154.93530000000001</v>
      </c>
      <c r="N182">
        <v>0.44473980000000002</v>
      </c>
      <c r="O182">
        <f t="shared" si="13"/>
        <v>2.8704872291853436E-3</v>
      </c>
    </row>
    <row r="183" spans="1:15" x14ac:dyDescent="0.25">
      <c r="A183">
        <v>6479.1549999999997</v>
      </c>
      <c r="B183">
        <v>3.5052180000000002</v>
      </c>
      <c r="C183">
        <f t="shared" si="10"/>
        <v>5.4099925067389192E-4</v>
      </c>
      <c r="D183">
        <v>203.66069999999999</v>
      </c>
      <c r="E183">
        <v>0.84931990000000002</v>
      </c>
      <c r="F183">
        <f t="shared" si="11"/>
        <v>4.1702689816935723E-3</v>
      </c>
      <c r="G183">
        <v>52.245220000000003</v>
      </c>
      <c r="H183">
        <v>-0.19522020000000001</v>
      </c>
      <c r="I183">
        <f t="shared" si="12"/>
        <v>-3.7366136079051825E-3</v>
      </c>
      <c r="J183">
        <v>438.24669999999998</v>
      </c>
      <c r="K183">
        <v>0.64329340000000002</v>
      </c>
      <c r="L183">
        <f t="shared" si="14"/>
        <v>1.4678796212270395E-3</v>
      </c>
      <c r="M183">
        <v>155.60759999999999</v>
      </c>
      <c r="N183">
        <f>-1.967637</f>
        <v>-1.9676370000000001</v>
      </c>
      <c r="O183">
        <f t="shared" si="13"/>
        <v>-1.2644864389657062E-2</v>
      </c>
    </row>
    <row r="184" spans="1:15" x14ac:dyDescent="0.25">
      <c r="A184">
        <v>6481.2259999999997</v>
      </c>
      <c r="B184">
        <v>11.124129999999999</v>
      </c>
      <c r="C184">
        <f t="shared" si="10"/>
        <v>1.7163619969431708E-3</v>
      </c>
      <c r="D184">
        <v>204.7978</v>
      </c>
      <c r="E184">
        <v>0.37220449999999999</v>
      </c>
      <c r="F184">
        <f t="shared" si="11"/>
        <v>1.8174243082689364E-3</v>
      </c>
      <c r="G184">
        <v>52.165439999999997</v>
      </c>
      <c r="H184">
        <v>-0.3354413</v>
      </c>
      <c r="I184">
        <f t="shared" si="12"/>
        <v>-6.430335869878602E-3</v>
      </c>
      <c r="J184">
        <v>438.53649999999999</v>
      </c>
      <c r="K184">
        <v>1.673527</v>
      </c>
      <c r="L184">
        <f t="shared" si="14"/>
        <v>3.8161635348482967E-3</v>
      </c>
      <c r="M184">
        <v>153.80289999999999</v>
      </c>
      <c r="N184">
        <v>2.267109</v>
      </c>
      <c r="O184">
        <f t="shared" si="13"/>
        <v>1.4740352750175713E-2</v>
      </c>
    </row>
    <row r="185" spans="1:15" x14ac:dyDescent="0.25">
      <c r="A185">
        <v>6491.9030000000002</v>
      </c>
      <c r="B185">
        <f>-154.863</f>
        <v>-154.863</v>
      </c>
      <c r="C185">
        <f t="shared" si="10"/>
        <v>-2.3854792654788588E-2</v>
      </c>
      <c r="D185">
        <v>205.47149999999999</v>
      </c>
      <c r="E185">
        <f>-8.27148</f>
        <v>-8.2714800000000004</v>
      </c>
      <c r="F185">
        <f t="shared" si="11"/>
        <v>-4.0256093910834352E-2</v>
      </c>
      <c r="G185">
        <v>51.94605</v>
      </c>
      <c r="H185">
        <f>-2.946049</f>
        <v>-2.9460489999999999</v>
      </c>
      <c r="I185">
        <f t="shared" si="12"/>
        <v>-5.671362885147186E-2</v>
      </c>
      <c r="J185">
        <v>439.85539999999997</v>
      </c>
      <c r="K185">
        <f>-22.16541</f>
        <v>-22.165410000000001</v>
      </c>
      <c r="L185">
        <f t="shared" si="14"/>
        <v>-5.0392492623712253E-2</v>
      </c>
      <c r="M185">
        <v>156.2276</v>
      </c>
      <c r="N185">
        <f>-5.977634</f>
        <v>-5.9776340000000001</v>
      </c>
      <c r="O185">
        <f t="shared" si="13"/>
        <v>-3.8262342889476636E-2</v>
      </c>
    </row>
    <row r="186" spans="1:15" x14ac:dyDescent="0.25">
      <c r="A186">
        <v>6330.29</v>
      </c>
      <c r="B186">
        <v>6.7003360000000001</v>
      </c>
      <c r="C186">
        <f t="shared" si="10"/>
        <v>1.0584564056307058E-3</v>
      </c>
      <c r="D186">
        <v>197.60910000000001</v>
      </c>
      <c r="E186">
        <v>4.0863499999999997E-2</v>
      </c>
      <c r="F186">
        <f t="shared" si="11"/>
        <v>2.0678956586513473E-4</v>
      </c>
      <c r="G186">
        <v>49.123869999999997</v>
      </c>
      <c r="H186">
        <v>0.21613160000000001</v>
      </c>
      <c r="I186">
        <f t="shared" si="12"/>
        <v>4.3997266502008095E-3</v>
      </c>
      <c r="J186">
        <v>417.3535</v>
      </c>
      <c r="K186">
        <v>4.8764510000000003</v>
      </c>
      <c r="L186">
        <f t="shared" si="14"/>
        <v>1.1684222128243804E-2</v>
      </c>
      <c r="M186">
        <v>150.32820000000001</v>
      </c>
      <c r="N186">
        <v>3.0318149999999999</v>
      </c>
      <c r="O186">
        <f t="shared" si="13"/>
        <v>2.0167972476222023E-2</v>
      </c>
    </row>
    <row r="187" spans="1:15" x14ac:dyDescent="0.25">
      <c r="A187">
        <v>6329.98</v>
      </c>
      <c r="B187">
        <f>-11.84018</f>
        <v>-11.84018</v>
      </c>
      <c r="C187">
        <f t="shared" si="10"/>
        <v>-1.8704924818087893E-3</v>
      </c>
      <c r="D187">
        <v>198.03890000000001</v>
      </c>
      <c r="E187">
        <v>-0.4989479</v>
      </c>
      <c r="F187">
        <f t="shared" si="11"/>
        <v>-2.5194439072323666E-3</v>
      </c>
      <c r="G187">
        <v>49.46293</v>
      </c>
      <c r="H187">
        <v>9.7071000000000005E-2</v>
      </c>
      <c r="I187">
        <f t="shared" si="12"/>
        <v>1.9624999974728551E-3</v>
      </c>
      <c r="J187">
        <v>421.88990000000001</v>
      </c>
      <c r="K187">
        <v>1.180107</v>
      </c>
      <c r="L187">
        <f t="shared" si="14"/>
        <v>2.7971918739936653E-3</v>
      </c>
      <c r="M187">
        <v>153.48140000000001</v>
      </c>
      <c r="N187">
        <f>-1.571441</f>
        <v>-1.5714410000000001</v>
      </c>
      <c r="O187">
        <f t="shared" si="13"/>
        <v>-1.0238641294645474E-2</v>
      </c>
    </row>
    <row r="188" spans="1:15" x14ac:dyDescent="0.25">
      <c r="A188">
        <v>6311.125</v>
      </c>
      <c r="B188">
        <v>67.794629999999998</v>
      </c>
      <c r="C188">
        <f t="shared" si="10"/>
        <v>1.0742083226049238E-2</v>
      </c>
      <c r="D188">
        <v>197.93180000000001</v>
      </c>
      <c r="E188">
        <v>1.0481940000000001</v>
      </c>
      <c r="F188">
        <f t="shared" si="11"/>
        <v>5.2957331767810936E-3</v>
      </c>
      <c r="G188">
        <v>49.682319999999997</v>
      </c>
      <c r="H188">
        <v>0.65767880000000001</v>
      </c>
      <c r="I188">
        <f t="shared" si="12"/>
        <v>1.3237682942342469E-2</v>
      </c>
      <c r="J188">
        <v>422.72919999999999</v>
      </c>
      <c r="K188">
        <v>1.5107839999999999</v>
      </c>
      <c r="L188">
        <f t="shared" si="14"/>
        <v>3.5738813405839956E-3</v>
      </c>
      <c r="M188">
        <v>152.03909999999999</v>
      </c>
      <c r="N188">
        <v>1.5909059999999999</v>
      </c>
      <c r="O188">
        <f t="shared" si="13"/>
        <v>1.0463795168479686E-2</v>
      </c>
    </row>
    <row r="189" spans="1:15" x14ac:dyDescent="0.25">
      <c r="A189">
        <v>6373.7039999999997</v>
      </c>
      <c r="B189">
        <v>13.536519999999999</v>
      </c>
      <c r="C189">
        <f t="shared" si="10"/>
        <v>2.1238074438348566E-3</v>
      </c>
      <c r="D189">
        <v>199.34870000000001</v>
      </c>
      <c r="E189">
        <v>1.391284</v>
      </c>
      <c r="F189">
        <f t="shared" si="11"/>
        <v>6.9791475941403175E-3</v>
      </c>
      <c r="G189">
        <v>50.460169999999998</v>
      </c>
      <c r="H189">
        <v>0.83983399999999997</v>
      </c>
      <c r="I189">
        <f t="shared" si="12"/>
        <v>1.664350318280735E-2</v>
      </c>
      <c r="J189">
        <v>423.89830000000001</v>
      </c>
      <c r="K189">
        <v>37.871729999999999</v>
      </c>
      <c r="L189">
        <f t="shared" si="14"/>
        <v>8.934154725319729E-2</v>
      </c>
      <c r="M189">
        <v>153.74299999999999</v>
      </c>
      <c r="N189">
        <v>0.59697940000000005</v>
      </c>
      <c r="O189">
        <f t="shared" si="13"/>
        <v>3.8829696311376781E-3</v>
      </c>
    </row>
    <row r="190" spans="1:15" x14ac:dyDescent="0.25">
      <c r="A190">
        <v>6382.2640000000001</v>
      </c>
      <c r="B190">
        <f>-16.79413</f>
        <v>-16.794129999999999</v>
      </c>
      <c r="C190">
        <f t="shared" si="10"/>
        <v>-2.6313750104978418E-3</v>
      </c>
      <c r="D190">
        <v>201.0658</v>
      </c>
      <c r="E190">
        <v>-0.90578080000000005</v>
      </c>
      <c r="F190">
        <f t="shared" si="11"/>
        <v>-4.5048974017460955E-3</v>
      </c>
      <c r="G190">
        <v>51.41751</v>
      </c>
      <c r="H190">
        <v>-0.42751349999999999</v>
      </c>
      <c r="I190">
        <f t="shared" si="12"/>
        <v>-8.3145508213058154E-3</v>
      </c>
      <c r="J190">
        <v>461.39800000000002</v>
      </c>
      <c r="K190">
        <v>17.141960000000001</v>
      </c>
      <c r="L190">
        <f t="shared" si="14"/>
        <v>3.7152219992284317E-2</v>
      </c>
      <c r="M190">
        <v>154.57679999999999</v>
      </c>
      <c r="N190">
        <v>0.29320420000000003</v>
      </c>
      <c r="O190">
        <f t="shared" si="13"/>
        <v>1.8968189275492832E-3</v>
      </c>
    </row>
    <row r="191" spans="1:15" x14ac:dyDescent="0.25">
      <c r="A191">
        <v>6359.2179999999998</v>
      </c>
      <c r="B191">
        <v>4.4017619999999997</v>
      </c>
      <c r="C191">
        <f t="shared" si="10"/>
        <v>6.9218605180699892E-4</v>
      </c>
      <c r="D191">
        <v>200.50620000000001</v>
      </c>
      <c r="E191">
        <v>6.5938090000000003</v>
      </c>
      <c r="F191">
        <f t="shared" si="11"/>
        <v>3.2885811012327799E-2</v>
      </c>
      <c r="G191">
        <v>51.108370000000001</v>
      </c>
      <c r="H191">
        <v>2.48163</v>
      </c>
      <c r="I191">
        <f t="shared" si="12"/>
        <v>4.8556234526751681E-2</v>
      </c>
      <c r="J191">
        <v>478.15449999999998</v>
      </c>
      <c r="K191">
        <v>79.565470000000005</v>
      </c>
      <c r="L191">
        <f t="shared" si="14"/>
        <v>0.16640117367921875</v>
      </c>
      <c r="M191">
        <v>155.05670000000001</v>
      </c>
      <c r="N191">
        <v>6.5232869999999998</v>
      </c>
      <c r="O191">
        <f t="shared" si="13"/>
        <v>4.2070332981419052E-2</v>
      </c>
    </row>
    <row r="192" spans="1:15" x14ac:dyDescent="0.25">
      <c r="A192">
        <v>6364.241</v>
      </c>
      <c r="B192">
        <v>69.139030000000005</v>
      </c>
      <c r="C192">
        <f t="shared" si="10"/>
        <v>1.0863672510201924E-2</v>
      </c>
      <c r="D192">
        <v>207.36410000000001</v>
      </c>
      <c r="E192">
        <v>2.1059190000000001</v>
      </c>
      <c r="F192">
        <f t="shared" si="11"/>
        <v>1.015565857349464E-2</v>
      </c>
      <c r="G192">
        <v>53.701189999999997</v>
      </c>
      <c r="H192">
        <v>-1.1862000000000001E-3</v>
      </c>
      <c r="I192">
        <f t="shared" si="12"/>
        <v>-2.2088895981634676E-5</v>
      </c>
      <c r="J192">
        <v>557.27080000000001</v>
      </c>
      <c r="K192">
        <v>1.279245</v>
      </c>
      <c r="L192">
        <f t="shared" si="14"/>
        <v>2.2955536159439899E-3</v>
      </c>
      <c r="M192">
        <v>161.91290000000001</v>
      </c>
      <c r="N192">
        <v>2.9470909999999999</v>
      </c>
      <c r="O192">
        <f t="shared" si="13"/>
        <v>1.8201705978955349E-2</v>
      </c>
    </row>
    <row r="193" spans="1:15" x14ac:dyDescent="0.25">
      <c r="A193">
        <v>6436.7030000000004</v>
      </c>
      <c r="B193">
        <v>31.796679999999999</v>
      </c>
      <c r="C193">
        <f t="shared" si="10"/>
        <v>4.9399016856921931E-3</v>
      </c>
      <c r="D193">
        <v>209.70930000000001</v>
      </c>
      <c r="E193">
        <v>9.1907150000000009</v>
      </c>
      <c r="F193">
        <f t="shared" si="11"/>
        <v>4.3825977197959269E-2</v>
      </c>
      <c r="G193">
        <v>53.810879999999997</v>
      </c>
      <c r="H193">
        <v>2.2291180000000002</v>
      </c>
      <c r="I193">
        <f t="shared" si="12"/>
        <v>4.1425042667951169E-2</v>
      </c>
      <c r="J193">
        <v>558.1001</v>
      </c>
      <c r="K193">
        <v>72.079909999999998</v>
      </c>
      <c r="L193">
        <f t="shared" si="14"/>
        <v>0.12915229723126728</v>
      </c>
      <c r="M193">
        <v>165.21799999999999</v>
      </c>
      <c r="N193">
        <v>4.9020489999999999</v>
      </c>
      <c r="O193">
        <f t="shared" si="13"/>
        <v>2.9670187267731119E-2</v>
      </c>
    </row>
    <row r="194" spans="1:15" x14ac:dyDescent="0.25">
      <c r="A194">
        <v>6474.0249999999996</v>
      </c>
      <c r="B194">
        <v>48.244489999999999</v>
      </c>
      <c r="C194">
        <f t="shared" si="10"/>
        <v>7.4520086036121268E-3</v>
      </c>
      <c r="D194">
        <v>218.91200000000001</v>
      </c>
      <c r="E194">
        <f>-1.582003</f>
        <v>-1.582003</v>
      </c>
      <c r="F194">
        <f t="shared" si="11"/>
        <v>-7.2266618549919606E-3</v>
      </c>
      <c r="G194">
        <v>56.144419999999997</v>
      </c>
      <c r="H194">
        <f>-1.954417</f>
        <v>-1.9544170000000001</v>
      </c>
      <c r="I194">
        <f t="shared" si="12"/>
        <v>-3.4810529701794053E-2</v>
      </c>
      <c r="J194">
        <v>629.67240000000004</v>
      </c>
      <c r="K194">
        <f>-13.14239</f>
        <v>-13.142390000000001</v>
      </c>
      <c r="L194">
        <f t="shared" si="14"/>
        <v>-2.0871789838652607E-2</v>
      </c>
      <c r="M194">
        <v>170.5573</v>
      </c>
      <c r="N194">
        <f>-4.307259</f>
        <v>-4.3072590000000002</v>
      </c>
      <c r="O194">
        <f t="shared" si="13"/>
        <v>-2.5254028997879305E-2</v>
      </c>
    </row>
    <row r="195" spans="1:15" x14ac:dyDescent="0.25">
      <c r="A195">
        <v>6527.1589999999997</v>
      </c>
      <c r="B195">
        <f>-84.55908</f>
        <v>-84.559079999999994</v>
      </c>
      <c r="C195">
        <f t="shared" si="10"/>
        <v>-1.2954959424153756E-2</v>
      </c>
      <c r="D195">
        <v>217.36920000000001</v>
      </c>
      <c r="E195">
        <f>-5.379199</f>
        <v>-5.3791989999999998</v>
      </c>
      <c r="F195">
        <f t="shared" si="11"/>
        <v>-2.4746831657842968E-2</v>
      </c>
      <c r="G195">
        <v>54.299529999999997</v>
      </c>
      <c r="H195">
        <f>-1.939528</f>
        <v>-1.9395279999999999</v>
      </c>
      <c r="I195">
        <f t="shared" si="12"/>
        <v>-3.5719056868448035E-2</v>
      </c>
      <c r="J195">
        <v>616.03340000000003</v>
      </c>
      <c r="K195">
        <f>-42.02338</f>
        <v>-42.023380000000003</v>
      </c>
      <c r="L195">
        <f t="shared" si="14"/>
        <v>-6.8216073998585147E-2</v>
      </c>
      <c r="M195">
        <v>166.6088</v>
      </c>
      <c r="N195">
        <f>-2.448795</f>
        <v>-2.4487950000000001</v>
      </c>
      <c r="O195">
        <f t="shared" si="13"/>
        <v>-1.4697873101540856E-2</v>
      </c>
    </row>
    <row r="196" spans="1:15" x14ac:dyDescent="0.25">
      <c r="A196">
        <v>6444.0330000000004</v>
      </c>
      <c r="B196">
        <f>-57.90338</f>
        <v>-57.903379999999999</v>
      </c>
      <c r="C196">
        <f t="shared" ref="C196:C259" si="15">B196/A196</f>
        <v>-8.9855809242441794E-3</v>
      </c>
      <c r="D196">
        <v>212.1018</v>
      </c>
      <c r="E196">
        <f>-2.131784</f>
        <v>-2.1317840000000001</v>
      </c>
      <c r="F196">
        <f t="shared" ref="F196:F259" si="16">E196/D196</f>
        <v>-1.0050758645141154E-2</v>
      </c>
      <c r="G196">
        <v>52.474589999999999</v>
      </c>
      <c r="H196">
        <v>-0.54458479999999998</v>
      </c>
      <c r="I196">
        <f t="shared" ref="I196:I259" si="17">H196/G196</f>
        <v>-1.0378066793852034E-2</v>
      </c>
      <c r="J196">
        <v>573.54759999999999</v>
      </c>
      <c r="K196">
        <f>-30.66763</f>
        <v>-30.667629999999999</v>
      </c>
      <c r="L196">
        <f t="shared" si="14"/>
        <v>-5.3470069441490124E-2</v>
      </c>
      <c r="M196">
        <v>164.3536</v>
      </c>
      <c r="N196">
        <f>-4.393641</f>
        <v>-4.3936409999999997</v>
      </c>
      <c r="O196">
        <f t="shared" ref="O196:O259" si="18">N196/M196</f>
        <v>-2.6732855258418432E-2</v>
      </c>
    </row>
    <row r="197" spans="1:15" x14ac:dyDescent="0.25">
      <c r="A197">
        <v>6386.3509999999997</v>
      </c>
      <c r="B197">
        <v>27.278949999999998</v>
      </c>
      <c r="C197">
        <f t="shared" si="15"/>
        <v>4.2714454623618402E-3</v>
      </c>
      <c r="D197">
        <v>210.12719999999999</v>
      </c>
      <c r="E197">
        <v>2.3527740000000001</v>
      </c>
      <c r="F197">
        <f t="shared" si="16"/>
        <v>1.1196903589825592E-2</v>
      </c>
      <c r="G197">
        <v>52.045769999999997</v>
      </c>
      <c r="H197">
        <v>0.2742272</v>
      </c>
      <c r="I197">
        <f t="shared" si="17"/>
        <v>5.2689622999140956E-3</v>
      </c>
      <c r="J197">
        <v>542.44269999999995</v>
      </c>
      <c r="K197">
        <v>13.337289999999999</v>
      </c>
      <c r="L197">
        <f t="shared" ref="L197:L260" si="19">K197/J197</f>
        <v>2.4587463339445809E-2</v>
      </c>
      <c r="M197">
        <v>160.01679999999999</v>
      </c>
      <c r="N197">
        <v>1.7532110000000001</v>
      </c>
      <c r="O197">
        <f t="shared" si="18"/>
        <v>1.0956418326075763E-2</v>
      </c>
    </row>
    <row r="198" spans="1:15" x14ac:dyDescent="0.25">
      <c r="A198">
        <v>6414.9979999999996</v>
      </c>
      <c r="B198">
        <f>-3.238183</f>
        <v>-3.2381829999999998</v>
      </c>
      <c r="C198">
        <f t="shared" si="15"/>
        <v>-5.0478316594954509E-4</v>
      </c>
      <c r="D198">
        <v>212.62379999999999</v>
      </c>
      <c r="E198">
        <f>-1.113844</f>
        <v>-1.1138440000000001</v>
      </c>
      <c r="F198">
        <f t="shared" si="16"/>
        <v>-5.2385668960859512E-3</v>
      </c>
      <c r="G198">
        <v>52.434699999999999</v>
      </c>
      <c r="H198">
        <v>-0.95469519999999997</v>
      </c>
      <c r="I198">
        <f t="shared" si="17"/>
        <v>-1.820731691036661E-2</v>
      </c>
      <c r="J198">
        <v>555.33230000000003</v>
      </c>
      <c r="K198">
        <f>-21.76232</f>
        <v>-21.762319999999999</v>
      </c>
      <c r="L198">
        <f t="shared" si="19"/>
        <v>-3.918792405916241E-2</v>
      </c>
      <c r="M198">
        <v>161.75819999999999</v>
      </c>
      <c r="N198">
        <f>-1.518214</f>
        <v>-1.518214</v>
      </c>
      <c r="O198">
        <f t="shared" si="18"/>
        <v>-9.3857003848954804E-3</v>
      </c>
    </row>
    <row r="199" spans="1:15" x14ac:dyDescent="0.25">
      <c r="A199">
        <v>6409.9369999999999</v>
      </c>
      <c r="B199">
        <f>-36.74664</f>
        <v>-36.746639999999999</v>
      </c>
      <c r="C199">
        <f t="shared" si="15"/>
        <v>-5.7327614920396255E-3</v>
      </c>
      <c r="D199">
        <v>211.6602</v>
      </c>
      <c r="E199">
        <f>-1.510232</f>
        <v>-1.510232</v>
      </c>
      <c r="F199">
        <f t="shared" si="16"/>
        <v>-7.1351723186503652E-3</v>
      </c>
      <c r="G199">
        <v>51.597020000000001</v>
      </c>
      <c r="H199">
        <v>-0.96701619999999999</v>
      </c>
      <c r="I199">
        <f t="shared" si="17"/>
        <v>-1.874170640087354E-2</v>
      </c>
      <c r="J199">
        <v>533.14020000000005</v>
      </c>
      <c r="K199">
        <f>-18.56021</f>
        <v>-18.560210000000001</v>
      </c>
      <c r="L199">
        <f t="shared" si="19"/>
        <v>-3.4813000407772667E-2</v>
      </c>
      <c r="M199">
        <v>160.27520000000001</v>
      </c>
      <c r="N199">
        <v>2.7348340000000002</v>
      </c>
      <c r="O199">
        <f t="shared" si="18"/>
        <v>1.7063363514754622E-2</v>
      </c>
    </row>
    <row r="200" spans="1:15" x14ac:dyDescent="0.25">
      <c r="A200">
        <v>6368.3029999999999</v>
      </c>
      <c r="B200">
        <f>-17.06345</f>
        <v>-17.06345</v>
      </c>
      <c r="C200">
        <f t="shared" si="15"/>
        <v>-2.6794343799282161E-3</v>
      </c>
      <c r="D200">
        <v>210.4033</v>
      </c>
      <c r="E200">
        <f>-3.8733</f>
        <v>-3.8733</v>
      </c>
      <c r="F200">
        <f t="shared" si="16"/>
        <v>-1.8408931799073495E-2</v>
      </c>
      <c r="G200">
        <v>50.749360000000003</v>
      </c>
      <c r="H200">
        <f>-1.169365</f>
        <v>-1.169365</v>
      </c>
      <c r="I200">
        <f t="shared" si="17"/>
        <v>-2.3041965455327908E-2</v>
      </c>
      <c r="J200">
        <v>514.16549999999995</v>
      </c>
      <c r="K200">
        <f>-2.535504</f>
        <v>-2.535504</v>
      </c>
      <c r="L200">
        <f t="shared" si="19"/>
        <v>-4.9312993578915741E-3</v>
      </c>
      <c r="M200">
        <v>163.13399999999999</v>
      </c>
      <c r="N200">
        <f>-2.394023</f>
        <v>-2.3940229999999998</v>
      </c>
      <c r="O200">
        <f t="shared" si="18"/>
        <v>-1.4675193399291381E-2</v>
      </c>
    </row>
    <row r="201" spans="1:15" x14ac:dyDescent="0.25">
      <c r="A201">
        <v>6343.1</v>
      </c>
      <c r="B201">
        <f>-606.9496</f>
        <v>-606.94960000000003</v>
      </c>
      <c r="C201">
        <f t="shared" si="15"/>
        <v>-9.5686588576563508E-2</v>
      </c>
      <c r="D201">
        <v>206.8622</v>
      </c>
      <c r="E201">
        <f>-24.96218</f>
        <v>-24.96218</v>
      </c>
      <c r="F201">
        <f t="shared" si="16"/>
        <v>-0.12067057200397173</v>
      </c>
      <c r="G201">
        <v>49.702269999999999</v>
      </c>
      <c r="H201">
        <f>-5.972266</f>
        <v>-5.9722660000000003</v>
      </c>
      <c r="I201">
        <f t="shared" si="17"/>
        <v>-0.12016082967639105</v>
      </c>
      <c r="J201">
        <v>511.21789999999999</v>
      </c>
      <c r="K201">
        <f>-71.25788</f>
        <v>-71.25788</v>
      </c>
      <c r="L201">
        <f t="shared" si="19"/>
        <v>-0.13938846820504525</v>
      </c>
      <c r="M201">
        <v>160.9042</v>
      </c>
      <c r="N201">
        <f>-16.86422</f>
        <v>-16.86422</v>
      </c>
      <c r="O201">
        <f t="shared" si="18"/>
        <v>-0.10480907272774731</v>
      </c>
    </row>
    <row r="202" spans="1:15" x14ac:dyDescent="0.25">
      <c r="A202">
        <v>5707.7640000000001</v>
      </c>
      <c r="B202">
        <f>-62.44433</f>
        <v>-62.444330000000001</v>
      </c>
      <c r="C202">
        <f t="shared" si="15"/>
        <v>-1.0940243850306355E-2</v>
      </c>
      <c r="D202">
        <v>182.6876</v>
      </c>
      <c r="E202">
        <f>-1.817594</f>
        <v>-1.8175939999999999</v>
      </c>
      <c r="F202">
        <f t="shared" si="16"/>
        <v>-9.9491919539147697E-3</v>
      </c>
      <c r="G202">
        <v>43.868429999999996</v>
      </c>
      <c r="H202">
        <v>9.1570499999999999E-2</v>
      </c>
      <c r="I202">
        <f t="shared" si="17"/>
        <v>2.0873894962732883E-3</v>
      </c>
      <c r="J202">
        <v>439.60559999999998</v>
      </c>
      <c r="K202">
        <f>-18.40561</f>
        <v>-18.405609999999999</v>
      </c>
      <c r="L202">
        <f t="shared" si="19"/>
        <v>-4.1868461184297927E-2</v>
      </c>
      <c r="M202">
        <v>143.87469999999999</v>
      </c>
      <c r="N202">
        <f>-5.33474</f>
        <v>-5.33474</v>
      </c>
      <c r="O202">
        <f t="shared" si="18"/>
        <v>-3.7079069495887747E-2</v>
      </c>
    </row>
    <row r="203" spans="1:15" x14ac:dyDescent="0.25">
      <c r="A203">
        <v>5615.9440000000004</v>
      </c>
      <c r="B203">
        <f>-37.36361</f>
        <v>-37.363610000000001</v>
      </c>
      <c r="C203">
        <f t="shared" si="15"/>
        <v>-6.6531308004495766E-3</v>
      </c>
      <c r="D203">
        <v>181.65280000000001</v>
      </c>
      <c r="E203">
        <f>-6.292795</f>
        <v>-6.2927949999999999</v>
      </c>
      <c r="F203">
        <f t="shared" si="16"/>
        <v>-3.4641882756555359E-2</v>
      </c>
      <c r="G203">
        <v>44.097790000000003</v>
      </c>
      <c r="H203">
        <f>-1.607794</f>
        <v>-1.6077939999999999</v>
      </c>
      <c r="I203">
        <f t="shared" si="17"/>
        <v>-3.6459740953004673E-2</v>
      </c>
      <c r="J203">
        <v>420.86070000000001</v>
      </c>
      <c r="K203">
        <f>-31.36072</f>
        <v>-31.360720000000001</v>
      </c>
      <c r="L203">
        <f t="shared" si="19"/>
        <v>-7.4515677039932685E-2</v>
      </c>
      <c r="M203">
        <v>138.30690000000001</v>
      </c>
      <c r="N203">
        <v>-0.91686670000000003</v>
      </c>
      <c r="O203">
        <f t="shared" si="18"/>
        <v>-6.6292187880720339E-3</v>
      </c>
    </row>
    <row r="204" spans="1:15" x14ac:dyDescent="0.25">
      <c r="A204">
        <v>5545.3909999999996</v>
      </c>
      <c r="B204">
        <v>14.349220000000001</v>
      </c>
      <c r="C204">
        <f t="shared" si="15"/>
        <v>2.5875939135761574E-3</v>
      </c>
      <c r="D204">
        <v>176.15430000000001</v>
      </c>
      <c r="E204">
        <f>-1.974249</f>
        <v>-1.9742489999999999</v>
      </c>
      <c r="F204">
        <f t="shared" si="16"/>
        <v>-1.1207498199022106E-2</v>
      </c>
      <c r="G204">
        <v>42.631860000000003</v>
      </c>
      <c r="H204">
        <v>-0.54185559999999999</v>
      </c>
      <c r="I204">
        <f t="shared" si="17"/>
        <v>-1.2710109293847371E-2</v>
      </c>
      <c r="J204">
        <v>389.18619999999999</v>
      </c>
      <c r="K204">
        <f>-1.556257</f>
        <v>-1.556257</v>
      </c>
      <c r="L204">
        <f t="shared" si="19"/>
        <v>-3.9987466153733097E-3</v>
      </c>
      <c r="M204">
        <v>137.08359999999999</v>
      </c>
      <c r="N204">
        <f>-4.163617</f>
        <v>-4.1636170000000003</v>
      </c>
      <c r="O204">
        <f t="shared" si="18"/>
        <v>-3.0372830885678524E-2</v>
      </c>
    </row>
    <row r="205" spans="1:15" x14ac:dyDescent="0.25">
      <c r="A205">
        <v>5525.9049999999997</v>
      </c>
      <c r="B205">
        <v>94.87482</v>
      </c>
      <c r="C205">
        <f t="shared" si="15"/>
        <v>1.7169100807921962E-2</v>
      </c>
      <c r="D205">
        <v>174.96610000000001</v>
      </c>
      <c r="E205">
        <v>2.213937</v>
      </c>
      <c r="F205">
        <f t="shared" si="16"/>
        <v>1.2653519738966576E-2</v>
      </c>
      <c r="G205">
        <v>42.232959999999999</v>
      </c>
      <c r="H205">
        <v>0.1070392</v>
      </c>
      <c r="I205">
        <f t="shared" si="17"/>
        <v>2.5344943854278745E-3</v>
      </c>
      <c r="J205">
        <v>387.3177</v>
      </c>
      <c r="K205">
        <f>-3.687763</f>
        <v>-3.6877629999999999</v>
      </c>
      <c r="L205">
        <f t="shared" si="19"/>
        <v>-9.5212870467835577E-3</v>
      </c>
      <c r="M205">
        <v>132.57810000000001</v>
      </c>
      <c r="N205">
        <v>0.11192530000000001</v>
      </c>
      <c r="O205">
        <f t="shared" si="18"/>
        <v>8.4422163238121535E-4</v>
      </c>
    </row>
    <row r="206" spans="1:15" x14ac:dyDescent="0.25">
      <c r="A206">
        <v>5591.0320000000002</v>
      </c>
      <c r="B206">
        <f>-727.1024</f>
        <v>-727.10239999999999</v>
      </c>
      <c r="C206">
        <f t="shared" si="15"/>
        <v>-0.13004797683146868</v>
      </c>
      <c r="D206">
        <v>177.95500000000001</v>
      </c>
      <c r="E206">
        <f>-29.145</f>
        <v>-29.145</v>
      </c>
      <c r="F206">
        <f t="shared" si="16"/>
        <v>-0.16377735944480346</v>
      </c>
      <c r="G206">
        <v>42.48227</v>
      </c>
      <c r="H206">
        <f>-5.91227</f>
        <v>-5.9122700000000004</v>
      </c>
      <c r="I206">
        <f t="shared" si="17"/>
        <v>-0.13917029386612345</v>
      </c>
      <c r="J206">
        <v>383.32100000000003</v>
      </c>
      <c r="K206">
        <f>-47.01099</f>
        <v>-47.01099</v>
      </c>
      <c r="L206">
        <f t="shared" si="19"/>
        <v>-0.12264131106826914</v>
      </c>
      <c r="M206">
        <v>132.66319999999999</v>
      </c>
      <c r="N206">
        <f>-23.2732</f>
        <v>-23.273199999999999</v>
      </c>
      <c r="O206">
        <f t="shared" si="18"/>
        <v>-0.17543071477244632</v>
      </c>
    </row>
    <row r="207" spans="1:15" x14ac:dyDescent="0.25">
      <c r="A207">
        <v>4805.8689999999997</v>
      </c>
      <c r="B207">
        <f>-340.3293</f>
        <v>-340.32929999999999</v>
      </c>
      <c r="C207">
        <f t="shared" si="15"/>
        <v>-7.081535098022855E-2</v>
      </c>
      <c r="D207">
        <v>149.9659</v>
      </c>
      <c r="E207">
        <f>-18.82595</f>
        <v>-18.825949999999999</v>
      </c>
      <c r="F207">
        <f t="shared" si="16"/>
        <v>-0.12553487159414239</v>
      </c>
      <c r="G207">
        <v>36.728209999999997</v>
      </c>
      <c r="H207">
        <f>-3.658213</f>
        <v>-3.6582129999999999</v>
      </c>
      <c r="I207">
        <f t="shared" si="17"/>
        <v>-9.9602267575795281E-2</v>
      </c>
      <c r="J207">
        <v>336.03910000000002</v>
      </c>
      <c r="K207">
        <f>-109.6591</f>
        <v>-109.6591</v>
      </c>
      <c r="L207">
        <f t="shared" si="19"/>
        <v>-0.32632839452313728</v>
      </c>
      <c r="M207">
        <v>109.0569</v>
      </c>
      <c r="N207">
        <f>-4.046904</f>
        <v>-4.0469039999999996</v>
      </c>
      <c r="O207">
        <f t="shared" si="18"/>
        <v>-3.7108188477757938E-2</v>
      </c>
    </row>
    <row r="208" spans="1:15" x14ac:dyDescent="0.25">
      <c r="A208">
        <v>4419.5619999999999</v>
      </c>
      <c r="B208">
        <v>192.00839999999999</v>
      </c>
      <c r="C208">
        <f t="shared" si="15"/>
        <v>4.3445119674755103E-2</v>
      </c>
      <c r="D208">
        <v>132.524</v>
      </c>
      <c r="E208">
        <v>4.2859569999999998</v>
      </c>
      <c r="F208">
        <f t="shared" si="16"/>
        <v>3.2340987292867704E-2</v>
      </c>
      <c r="G208">
        <v>33.237879999999997</v>
      </c>
      <c r="H208">
        <v>1.4521170000000001</v>
      </c>
      <c r="I208">
        <f t="shared" si="17"/>
        <v>4.3688616722847552E-2</v>
      </c>
      <c r="J208">
        <v>226.19759999999999</v>
      </c>
      <c r="K208">
        <v>10.01235</v>
      </c>
      <c r="L208">
        <f t="shared" si="19"/>
        <v>4.4263732241190887E-2</v>
      </c>
      <c r="M208">
        <v>104.6215</v>
      </c>
      <c r="N208">
        <v>9.788456</v>
      </c>
      <c r="O208">
        <f t="shared" si="18"/>
        <v>9.3560654358807699E-2</v>
      </c>
    </row>
    <row r="209" spans="1:15" x14ac:dyDescent="0.25">
      <c r="A209">
        <v>4575.3050000000003</v>
      </c>
      <c r="B209">
        <f>-214.6051</f>
        <v>-214.60509999999999</v>
      </c>
      <c r="C209">
        <f t="shared" si="15"/>
        <v>-4.6905091573130095E-2</v>
      </c>
      <c r="D209">
        <v>138.07159999999999</v>
      </c>
      <c r="E209">
        <f>-11.65161</f>
        <v>-11.65161</v>
      </c>
      <c r="F209">
        <f t="shared" si="16"/>
        <v>-8.4388172513391604E-2</v>
      </c>
      <c r="G209">
        <v>34.853409999999997</v>
      </c>
      <c r="H209">
        <f>-2.833407</f>
        <v>-2.8334069999999998</v>
      </c>
      <c r="I209">
        <f t="shared" si="17"/>
        <v>-8.1294972285351708E-2</v>
      </c>
      <c r="J209">
        <v>236.0197</v>
      </c>
      <c r="K209">
        <f>-25.59973</f>
        <v>-25.599730000000001</v>
      </c>
      <c r="L209">
        <f t="shared" si="19"/>
        <v>-0.10846437818538029</v>
      </c>
      <c r="M209">
        <v>114.273</v>
      </c>
      <c r="N209">
        <f>-12.07296</f>
        <v>-12.07296</v>
      </c>
      <c r="O209">
        <f t="shared" si="18"/>
        <v>-0.10565015357958574</v>
      </c>
    </row>
    <row r="210" spans="1:15" x14ac:dyDescent="0.25">
      <c r="A210">
        <v>4317.7089999999998</v>
      </c>
      <c r="B210">
        <v>29.980920000000001</v>
      </c>
      <c r="C210">
        <f t="shared" si="15"/>
        <v>6.9437101944572928E-3</v>
      </c>
      <c r="D210">
        <v>127.5265</v>
      </c>
      <c r="E210">
        <f>-4.226466</f>
        <v>-4.2264660000000003</v>
      </c>
      <c r="F210">
        <f t="shared" si="16"/>
        <v>-3.3141864632056872E-2</v>
      </c>
      <c r="G210">
        <v>32.190779999999997</v>
      </c>
      <c r="H210">
        <v>6.9215700000000005E-2</v>
      </c>
      <c r="I210">
        <f t="shared" si="17"/>
        <v>2.1501715708659441E-3</v>
      </c>
      <c r="J210">
        <v>210.25049999999999</v>
      </c>
      <c r="K210">
        <f>-2.590506</f>
        <v>-2.590506</v>
      </c>
      <c r="L210">
        <f t="shared" si="19"/>
        <v>-1.2321045609879644E-2</v>
      </c>
      <c r="M210">
        <v>101.8518</v>
      </c>
      <c r="N210">
        <f>-2.431757</f>
        <v>-2.4317570000000002</v>
      </c>
      <c r="O210">
        <f t="shared" si="18"/>
        <v>-2.3875444518408121E-2</v>
      </c>
    </row>
    <row r="211" spans="1:15" x14ac:dyDescent="0.25">
      <c r="A211">
        <v>4305.0379999999996</v>
      </c>
      <c r="B211">
        <f>-424.2579</f>
        <v>-424.25790000000001</v>
      </c>
      <c r="C211">
        <f t="shared" si="15"/>
        <v>-9.85491649551061E-2</v>
      </c>
      <c r="D211">
        <v>124.4371</v>
      </c>
      <c r="E211">
        <f>-11.30715</f>
        <v>-11.30715</v>
      </c>
      <c r="F211">
        <f t="shared" si="16"/>
        <v>-9.086638952531037E-2</v>
      </c>
      <c r="G211">
        <v>32.430120000000002</v>
      </c>
      <c r="H211">
        <f>-3.200121</f>
        <v>-3.2001210000000002</v>
      </c>
      <c r="I211">
        <f t="shared" si="17"/>
        <v>-9.8677433200987236E-2</v>
      </c>
      <c r="J211">
        <v>207.49270000000001</v>
      </c>
      <c r="K211">
        <f>-26.36273</f>
        <v>-26.362729999999999</v>
      </c>
      <c r="L211">
        <f t="shared" si="19"/>
        <v>-0.12705377104833085</v>
      </c>
      <c r="M211">
        <v>99.468000000000004</v>
      </c>
      <c r="N211">
        <f>-6.428005</f>
        <v>-6.4280049999999997</v>
      </c>
      <c r="O211">
        <f t="shared" si="18"/>
        <v>-6.462384887602042E-2</v>
      </c>
    </row>
    <row r="212" spans="1:15" x14ac:dyDescent="0.25">
      <c r="A212">
        <v>3817.326</v>
      </c>
      <c r="B212">
        <v>197.74350000000001</v>
      </c>
      <c r="C212">
        <f t="shared" si="15"/>
        <v>5.1801575238792814E-2</v>
      </c>
      <c r="D212">
        <v>114.34099999999999</v>
      </c>
      <c r="E212">
        <v>1.99895</v>
      </c>
      <c r="F212">
        <f t="shared" si="16"/>
        <v>1.7482355410570138E-2</v>
      </c>
      <c r="G212">
        <v>29.40849</v>
      </c>
      <c r="H212">
        <v>1.4615069999999999</v>
      </c>
      <c r="I212">
        <f t="shared" si="17"/>
        <v>4.9696771238509692E-2</v>
      </c>
      <c r="J212">
        <v>180.98410000000001</v>
      </c>
      <c r="K212">
        <v>3.845901</v>
      </c>
      <c r="L212">
        <f t="shared" si="19"/>
        <v>2.1249938530511794E-2</v>
      </c>
      <c r="M212">
        <v>93.059070000000006</v>
      </c>
      <c r="N212">
        <f>-1.929065</f>
        <v>-1.929065</v>
      </c>
      <c r="O212">
        <f t="shared" si="18"/>
        <v>-2.0729467853052904E-2</v>
      </c>
    </row>
    <row r="213" spans="1:15" x14ac:dyDescent="0.25">
      <c r="A213">
        <v>3990.6550000000002</v>
      </c>
      <c r="B213">
        <f>-224.7051</f>
        <v>-224.70509999999999</v>
      </c>
      <c r="C213">
        <f t="shared" si="15"/>
        <v>-5.6307824154180196E-2</v>
      </c>
      <c r="D213">
        <v>117.4923</v>
      </c>
      <c r="E213">
        <f>-9.582291</f>
        <v>-9.5822909999999997</v>
      </c>
      <c r="F213">
        <f t="shared" si="16"/>
        <v>-8.1556757336438218E-2</v>
      </c>
      <c r="G213">
        <v>31.043959999999998</v>
      </c>
      <c r="H213">
        <f>-1.633962</f>
        <v>-1.6339619999999999</v>
      </c>
      <c r="I213">
        <f t="shared" si="17"/>
        <v>-5.263381346967333E-2</v>
      </c>
      <c r="J213">
        <v>184.68109999999999</v>
      </c>
      <c r="K213">
        <f>-2.681119</f>
        <v>-2.6811189999999998</v>
      </c>
      <c r="L213">
        <f t="shared" si="19"/>
        <v>-1.4517560270108852E-2</v>
      </c>
      <c r="M213">
        <v>90.935680000000005</v>
      </c>
      <c r="N213">
        <f>-2.255676</f>
        <v>-2.2556759999999998</v>
      </c>
      <c r="O213">
        <f t="shared" si="18"/>
        <v>-2.480518098066677E-2</v>
      </c>
    </row>
    <row r="214" spans="1:15" x14ac:dyDescent="0.25">
      <c r="A214">
        <v>3749.7060000000001</v>
      </c>
      <c r="B214">
        <v>72.764150000000001</v>
      </c>
      <c r="C214">
        <f t="shared" si="15"/>
        <v>1.9405294708438475E-2</v>
      </c>
      <c r="D214">
        <v>109.2154</v>
      </c>
      <c r="E214">
        <v>0.98459819999999998</v>
      </c>
      <c r="F214">
        <f t="shared" si="16"/>
        <v>9.0151956592202202E-3</v>
      </c>
      <c r="G214">
        <v>29.588000000000001</v>
      </c>
      <c r="H214">
        <v>1.5320039999999999</v>
      </c>
      <c r="I214">
        <f t="shared" si="17"/>
        <v>5.1777882925510339E-2</v>
      </c>
      <c r="J214">
        <v>181.85339999999999</v>
      </c>
      <c r="K214">
        <f>-2.713398</f>
        <v>-2.7133980000000002</v>
      </c>
      <c r="L214">
        <f t="shared" si="19"/>
        <v>-1.4920798841264449E-2</v>
      </c>
      <c r="M214">
        <v>88.675790000000006</v>
      </c>
      <c r="N214">
        <v>0.48421399999999998</v>
      </c>
      <c r="O214">
        <f t="shared" si="18"/>
        <v>5.4604982938409674E-3</v>
      </c>
    </row>
    <row r="215" spans="1:15" x14ac:dyDescent="0.25">
      <c r="A215">
        <v>3801.884</v>
      </c>
      <c r="B215">
        <v>467.11590000000001</v>
      </c>
      <c r="C215">
        <f t="shared" si="15"/>
        <v>0.12286432200456406</v>
      </c>
      <c r="D215">
        <v>111.1293</v>
      </c>
      <c r="E215">
        <v>11.590669999999999</v>
      </c>
      <c r="F215">
        <f t="shared" si="16"/>
        <v>0.1042989562608601</v>
      </c>
      <c r="G215">
        <v>31.29327</v>
      </c>
      <c r="H215">
        <v>3.4267289999999999</v>
      </c>
      <c r="I215">
        <f t="shared" si="17"/>
        <v>0.1095037047901993</v>
      </c>
      <c r="J215">
        <v>178.9957</v>
      </c>
      <c r="K215">
        <v>11.1043</v>
      </c>
      <c r="L215">
        <f t="shared" si="19"/>
        <v>6.2036685797480055E-2</v>
      </c>
      <c r="M215">
        <v>89.217399999999998</v>
      </c>
      <c r="N215" s="10">
        <v>10.6426</v>
      </c>
      <c r="O215">
        <f t="shared" si="18"/>
        <v>0.11928838993290547</v>
      </c>
    </row>
    <row r="216" spans="1:15" x14ac:dyDescent="0.25">
      <c r="A216">
        <v>4276.915</v>
      </c>
      <c r="B216">
        <v>12.1755</v>
      </c>
      <c r="C216">
        <f t="shared" si="15"/>
        <v>2.8467949444868556E-3</v>
      </c>
      <c r="D216">
        <v>123.2615</v>
      </c>
      <c r="E216">
        <f>-5.531529</f>
        <v>-5.5315289999999999</v>
      </c>
      <c r="F216">
        <f t="shared" si="16"/>
        <v>-4.4876372589981464E-2</v>
      </c>
      <c r="G216">
        <v>34.883319999999998</v>
      </c>
      <c r="H216">
        <f>-1.083324</f>
        <v>-1.083324</v>
      </c>
      <c r="I216">
        <f t="shared" si="17"/>
        <v>-3.1055644932879097E-2</v>
      </c>
      <c r="J216">
        <v>189.9469</v>
      </c>
      <c r="K216">
        <f>-8.856874</f>
        <v>-8.8568739999999995</v>
      </c>
      <c r="L216">
        <f t="shared" si="19"/>
        <v>-4.6628157658798325E-2</v>
      </c>
      <c r="M216">
        <v>100.2283</v>
      </c>
      <c r="N216">
        <f>-3.418273</f>
        <v>-3.4182730000000001</v>
      </c>
      <c r="O216">
        <f t="shared" si="18"/>
        <v>-3.4104868585020397E-2</v>
      </c>
    </row>
    <row r="217" spans="1:15" x14ac:dyDescent="0.25">
      <c r="A217">
        <v>4298.3639999999996</v>
      </c>
      <c r="B217">
        <f>-273.9038</f>
        <v>-273.90379999999999</v>
      </c>
      <c r="C217">
        <f t="shared" si="15"/>
        <v>-6.3722802442975984E-2</v>
      </c>
      <c r="D217">
        <v>118.40940000000001</v>
      </c>
      <c r="E217">
        <f>-5.00943</f>
        <v>-5.00943</v>
      </c>
      <c r="F217">
        <f t="shared" si="16"/>
        <v>-4.2306016245331875E-2</v>
      </c>
      <c r="G217">
        <v>33.965870000000002</v>
      </c>
      <c r="H217">
        <f>-1.835866</f>
        <v>-1.835866</v>
      </c>
      <c r="I217">
        <f t="shared" si="17"/>
        <v>-5.4050315802303898E-2</v>
      </c>
      <c r="J217">
        <v>180.94409999999999</v>
      </c>
      <c r="K217">
        <f>-8.424131</f>
        <v>-8.4241309999999991</v>
      </c>
      <c r="L217">
        <f t="shared" si="19"/>
        <v>-4.6556538732127763E-2</v>
      </c>
      <c r="M217">
        <v>97.160929999999993</v>
      </c>
      <c r="N217">
        <f>-5.100924</f>
        <v>-5.100924</v>
      </c>
      <c r="O217">
        <f t="shared" si="18"/>
        <v>-5.249974449606442E-2</v>
      </c>
    </row>
    <row r="218" spans="1:15" x14ac:dyDescent="0.25">
      <c r="A218">
        <v>4044.3679999999999</v>
      </c>
      <c r="B218">
        <v>156.3621</v>
      </c>
      <c r="C218">
        <f t="shared" si="15"/>
        <v>3.8661689539626461E-2</v>
      </c>
      <c r="D218">
        <v>114.0133</v>
      </c>
      <c r="E218">
        <v>4.2567500000000003</v>
      </c>
      <c r="F218">
        <f t="shared" si="16"/>
        <v>3.7335556465780746E-2</v>
      </c>
      <c r="G218">
        <v>32.30048</v>
      </c>
      <c r="H218">
        <v>1.9595199999999999</v>
      </c>
      <c r="I218">
        <f t="shared" si="17"/>
        <v>6.0665352341513192E-2</v>
      </c>
      <c r="J218">
        <v>172.381</v>
      </c>
      <c r="K218">
        <v>-0.4410347</v>
      </c>
      <c r="L218">
        <f t="shared" si="19"/>
        <v>-2.5584878843956122E-3</v>
      </c>
      <c r="M218">
        <v>92.37388</v>
      </c>
      <c r="N218">
        <v>2.7261220000000002</v>
      </c>
      <c r="O218">
        <f t="shared" si="18"/>
        <v>2.9511827369381908E-2</v>
      </c>
    </row>
    <row r="219" spans="1:15" x14ac:dyDescent="0.25">
      <c r="A219">
        <v>4221.4560000000001</v>
      </c>
      <c r="B219">
        <f>-74.13612</f>
        <v>-74.136120000000005</v>
      </c>
      <c r="C219">
        <f t="shared" si="15"/>
        <v>-1.756174173081515E-2</v>
      </c>
      <c r="D219">
        <v>118.77800000000001</v>
      </c>
      <c r="E219">
        <f>-2.397963</f>
        <v>-2.3979629999999998</v>
      </c>
      <c r="F219">
        <f t="shared" si="16"/>
        <v>-2.0188612369293975E-2</v>
      </c>
      <c r="G219">
        <v>34.424590000000002</v>
      </c>
      <c r="H219">
        <v>-0.61459509999999995</v>
      </c>
      <c r="I219">
        <f t="shared" si="17"/>
        <v>-1.7853374579043641E-2</v>
      </c>
      <c r="J219">
        <v>171.8015</v>
      </c>
      <c r="K219">
        <v>0.51849809999999996</v>
      </c>
      <c r="L219">
        <f t="shared" si="19"/>
        <v>3.0180068276470227E-3</v>
      </c>
      <c r="M219">
        <v>95.458380000000005</v>
      </c>
      <c r="N219">
        <f>-2.068382</f>
        <v>-2.0683820000000002</v>
      </c>
      <c r="O219">
        <f t="shared" si="18"/>
        <v>-2.1667893379292629E-2</v>
      </c>
    </row>
    <row r="220" spans="1:15" x14ac:dyDescent="0.25">
      <c r="A220">
        <v>4177.1180000000004</v>
      </c>
      <c r="B220">
        <f>-290.8277</f>
        <v>-290.82769999999999</v>
      </c>
      <c r="C220">
        <f t="shared" si="15"/>
        <v>-6.9624008706481347E-2</v>
      </c>
      <c r="D220">
        <v>116.7907</v>
      </c>
      <c r="E220">
        <f>-7.990676</f>
        <v>-7.9906759999999997</v>
      </c>
      <c r="F220">
        <f t="shared" si="16"/>
        <v>-6.8418769645185784E-2</v>
      </c>
      <c r="G220">
        <v>33.975839999999998</v>
      </c>
      <c r="H220">
        <f>-2.965838</f>
        <v>-2.9658380000000002</v>
      </c>
      <c r="I220">
        <f t="shared" si="17"/>
        <v>-8.7292558476847082E-2</v>
      </c>
      <c r="J220">
        <v>172.18119999999999</v>
      </c>
      <c r="K220">
        <f>-12.5412</f>
        <v>-12.5412</v>
      </c>
      <c r="L220">
        <f t="shared" si="19"/>
        <v>-7.2837220323705501E-2</v>
      </c>
      <c r="M220">
        <v>93.513679999999994</v>
      </c>
      <c r="N220">
        <f>-8.823678</f>
        <v>-8.8236779999999992</v>
      </c>
      <c r="O220">
        <f t="shared" si="18"/>
        <v>-9.4357082300685846E-2</v>
      </c>
    </row>
    <row r="221" spans="1:15" x14ac:dyDescent="0.25">
      <c r="A221">
        <v>3903.4569999999999</v>
      </c>
      <c r="B221">
        <v>55.432870000000001</v>
      </c>
      <c r="C221">
        <f t="shared" si="15"/>
        <v>1.4200968526103913E-2</v>
      </c>
      <c r="D221">
        <v>109.3546</v>
      </c>
      <c r="E221">
        <v>0.98543040000000004</v>
      </c>
      <c r="F221">
        <f t="shared" si="16"/>
        <v>9.0113301132279753E-3</v>
      </c>
      <c r="G221">
        <v>31.18357</v>
      </c>
      <c r="H221">
        <v>3.6425100000000002E-2</v>
      </c>
      <c r="I221">
        <f t="shared" si="17"/>
        <v>1.1680862710715932E-3</v>
      </c>
      <c r="J221">
        <v>159.51140000000001</v>
      </c>
      <c r="K221">
        <f>-9.661409</f>
        <v>-9.6614090000000008</v>
      </c>
      <c r="L221">
        <f t="shared" si="19"/>
        <v>-6.0568768125663745E-2</v>
      </c>
      <c r="M221">
        <v>84.718350000000001</v>
      </c>
      <c r="N221">
        <v>0.89164810000000005</v>
      </c>
      <c r="O221">
        <f t="shared" si="18"/>
        <v>1.0524852053893873E-2</v>
      </c>
    </row>
    <row r="222" spans="1:15" x14ac:dyDescent="0.25">
      <c r="A222">
        <v>3958.902</v>
      </c>
      <c r="B222">
        <f>-204.8316</f>
        <v>-204.83160000000001</v>
      </c>
      <c r="C222">
        <f t="shared" si="15"/>
        <v>-5.1739497466721837E-2</v>
      </c>
      <c r="D222">
        <v>110.7709</v>
      </c>
      <c r="E222">
        <f>-8.320923</f>
        <v>-8.3209230000000005</v>
      </c>
      <c r="F222">
        <f t="shared" si="16"/>
        <v>-7.5118311758774203E-2</v>
      </c>
      <c r="G222">
        <v>31.392990000000001</v>
      </c>
      <c r="H222">
        <f>-2.142995</f>
        <v>-2.142995</v>
      </c>
      <c r="I222">
        <f t="shared" si="17"/>
        <v>-6.8263488122666874E-2</v>
      </c>
      <c r="J222">
        <v>149.72929999999999</v>
      </c>
      <c r="K222">
        <f>-19.2093</f>
        <v>-19.209299999999999</v>
      </c>
      <c r="L222">
        <f t="shared" si="19"/>
        <v>-0.12829352705181951</v>
      </c>
      <c r="M222">
        <v>85.745379999999997</v>
      </c>
      <c r="N222">
        <f>-7.855384</f>
        <v>-7.8553839999999999</v>
      </c>
      <c r="O222">
        <f t="shared" si="18"/>
        <v>-9.1612912555755197E-2</v>
      </c>
    </row>
    <row r="223" spans="1:15" x14ac:dyDescent="0.25">
      <c r="A223">
        <v>3745.2559999999999</v>
      </c>
      <c r="B223">
        <f>-232.6656</f>
        <v>-232.66560000000001</v>
      </c>
      <c r="C223">
        <f t="shared" si="15"/>
        <v>-6.2122749419532344E-2</v>
      </c>
      <c r="D223">
        <v>103.0179</v>
      </c>
      <c r="E223">
        <f>-11.36794</f>
        <v>-11.367940000000001</v>
      </c>
      <c r="F223">
        <f t="shared" si="16"/>
        <v>-0.11034917232830412</v>
      </c>
      <c r="G223">
        <v>29.428439999999998</v>
      </c>
      <c r="H223">
        <f>-2.518438</f>
        <v>-2.5184380000000002</v>
      </c>
      <c r="I223">
        <f t="shared" si="17"/>
        <v>-8.5578372485935389E-2</v>
      </c>
      <c r="J223">
        <v>130.41489999999999</v>
      </c>
      <c r="K223">
        <f>-22.92487</f>
        <v>-22.924869999999999</v>
      </c>
      <c r="L223">
        <f t="shared" si="19"/>
        <v>-0.17578413202785878</v>
      </c>
      <c r="M223">
        <v>77.830960000000005</v>
      </c>
      <c r="N223">
        <f>-11.75096</f>
        <v>-11.750959999999999</v>
      </c>
      <c r="O223">
        <f t="shared" si="18"/>
        <v>-0.15098053525229546</v>
      </c>
    </row>
    <row r="224" spans="1:15" x14ac:dyDescent="0.25">
      <c r="A224">
        <v>3506.261</v>
      </c>
      <c r="B224">
        <f>-84.35123</f>
        <v>-84.351230000000001</v>
      </c>
      <c r="C224">
        <f t="shared" si="15"/>
        <v>-2.4057316326422933E-2</v>
      </c>
      <c r="D224">
        <v>92.519419999999997</v>
      </c>
      <c r="E224">
        <v>0.89058199999999998</v>
      </c>
      <c r="F224">
        <f t="shared" si="16"/>
        <v>9.6258925963867911E-3</v>
      </c>
      <c r="G224">
        <v>27.094899999999999</v>
      </c>
      <c r="H224">
        <f>-1.964903</f>
        <v>-1.9649030000000001</v>
      </c>
      <c r="I224">
        <f t="shared" si="17"/>
        <v>-7.2519293298738879E-2</v>
      </c>
      <c r="J224">
        <v>107.4034</v>
      </c>
      <c r="K224">
        <f>-1.163417</f>
        <v>-1.1634169999999999</v>
      </c>
      <c r="L224">
        <f t="shared" si="19"/>
        <v>-1.083221760204984E-2</v>
      </c>
      <c r="M224">
        <v>65.845119999999994</v>
      </c>
      <c r="N224">
        <v>1.9348879999999999</v>
      </c>
      <c r="O224">
        <f t="shared" si="18"/>
        <v>2.9385442687324438E-2</v>
      </c>
    </row>
    <row r="225" spans="1:15" x14ac:dyDescent="0.25">
      <c r="A225">
        <v>3404.19</v>
      </c>
      <c r="B225">
        <v>69.040139999999994</v>
      </c>
      <c r="C225">
        <f t="shared" si="15"/>
        <v>2.0280930265349464E-2</v>
      </c>
      <c r="D225">
        <v>94.194479999999999</v>
      </c>
      <c r="E225">
        <f>-2.154483</f>
        <v>-2.1544829999999999</v>
      </c>
      <c r="F225">
        <f t="shared" si="16"/>
        <v>-2.2872709738405054E-2</v>
      </c>
      <c r="G225">
        <v>25.31982</v>
      </c>
      <c r="H225">
        <v>-0.51982139999999999</v>
      </c>
      <c r="I225">
        <f t="shared" si="17"/>
        <v>-2.0530217039457625E-2</v>
      </c>
      <c r="J225">
        <v>106.1544</v>
      </c>
      <c r="K225">
        <f>-2.424423</f>
        <v>-2.424423</v>
      </c>
      <c r="L225">
        <f t="shared" si="19"/>
        <v>-2.2838648233139653E-2</v>
      </c>
      <c r="M225">
        <v>67.741420000000005</v>
      </c>
      <c r="N225">
        <v>1.068586</v>
      </c>
      <c r="O225">
        <f t="shared" si="18"/>
        <v>1.5774484798222417E-2</v>
      </c>
    </row>
    <row r="226" spans="1:15" x14ac:dyDescent="0.25">
      <c r="A226">
        <v>3459.884</v>
      </c>
      <c r="B226">
        <v>152.16560000000001</v>
      </c>
      <c r="C226">
        <f t="shared" si="15"/>
        <v>4.3979971582862321E-2</v>
      </c>
      <c r="D226">
        <v>92.790890000000005</v>
      </c>
      <c r="E226">
        <v>2.199112</v>
      </c>
      <c r="F226">
        <f t="shared" si="16"/>
        <v>2.3699654136305835E-2</v>
      </c>
      <c r="G226">
        <v>24.990729999999999</v>
      </c>
      <c r="H226">
        <v>0.91926680000000005</v>
      </c>
      <c r="I226">
        <f t="shared" si="17"/>
        <v>3.678431162274972E-2</v>
      </c>
      <c r="J226">
        <v>103.6464</v>
      </c>
      <c r="K226">
        <v>5.9535549999999997</v>
      </c>
      <c r="L226">
        <f t="shared" si="19"/>
        <v>5.7441020623967644E-2</v>
      </c>
      <c r="M226">
        <v>68.772019999999998</v>
      </c>
      <c r="N226">
        <v>7.6079829999999999</v>
      </c>
      <c r="O226">
        <f t="shared" si="18"/>
        <v>0.11062613836266552</v>
      </c>
    </row>
    <row r="227" spans="1:15" x14ac:dyDescent="0.25">
      <c r="A227">
        <v>3615.7489999999998</v>
      </c>
      <c r="B227">
        <f>-118.1989</f>
        <v>-118.19889999999999</v>
      </c>
      <c r="C227">
        <f t="shared" si="15"/>
        <v>-3.2690018029459457E-2</v>
      </c>
      <c r="D227">
        <v>95.759159999999994</v>
      </c>
      <c r="E227">
        <f>-4.179166</f>
        <v>-4.1791660000000004</v>
      </c>
      <c r="F227">
        <f t="shared" si="16"/>
        <v>-4.3642467206270401E-2</v>
      </c>
      <c r="G227">
        <v>26.097670000000001</v>
      </c>
      <c r="H227">
        <f>-1.497666</f>
        <v>-1.4976659999999999</v>
      </c>
      <c r="I227">
        <f t="shared" si="17"/>
        <v>-5.7386962131102122E-2</v>
      </c>
      <c r="J227">
        <v>109.5117</v>
      </c>
      <c r="K227">
        <f>-2.461717</f>
        <v>-2.4617170000000002</v>
      </c>
      <c r="L227">
        <f t="shared" si="19"/>
        <v>-2.2479031920790198E-2</v>
      </c>
      <c r="M227">
        <v>76.623239999999996</v>
      </c>
      <c r="N227">
        <f>-7.823237</f>
        <v>-7.8232369999999998</v>
      </c>
      <c r="O227">
        <f t="shared" si="18"/>
        <v>-0.10210005476145358</v>
      </c>
    </row>
    <row r="228" spans="1:15" x14ac:dyDescent="0.25">
      <c r="A228">
        <v>3493.5709999999999</v>
      </c>
      <c r="B228">
        <f>-72.11091</f>
        <v>-72.110910000000004</v>
      </c>
      <c r="C228">
        <f t="shared" si="15"/>
        <v>-2.0641031769498889E-2</v>
      </c>
      <c r="D228">
        <v>92.373429999999999</v>
      </c>
      <c r="E228">
        <f>-3.763428</f>
        <v>-3.7634280000000002</v>
      </c>
      <c r="F228">
        <f t="shared" si="16"/>
        <v>-4.0741455632858935E-2</v>
      </c>
      <c r="G228">
        <v>24.79129</v>
      </c>
      <c r="H228">
        <v>-0.99128579999999999</v>
      </c>
      <c r="I228">
        <f t="shared" si="17"/>
        <v>-3.9985244817837232E-2</v>
      </c>
      <c r="J228">
        <v>106.96380000000001</v>
      </c>
      <c r="K228">
        <f>-5.253771</f>
        <v>-5.2537710000000004</v>
      </c>
      <c r="L228">
        <f t="shared" si="19"/>
        <v>-4.9117280799672411E-2</v>
      </c>
      <c r="M228">
        <v>69.135120000000001</v>
      </c>
      <c r="N228">
        <f>-5.105119</f>
        <v>-5.1051190000000002</v>
      </c>
      <c r="O228">
        <f t="shared" si="18"/>
        <v>-7.3842628753663847E-2</v>
      </c>
    </row>
    <row r="229" spans="1:15" x14ac:dyDescent="0.25">
      <c r="A229">
        <v>3423.694</v>
      </c>
      <c r="B229">
        <v>64.186160000000001</v>
      </c>
      <c r="C229">
        <f t="shared" si="15"/>
        <v>1.8747633404153526E-2</v>
      </c>
      <c r="D229">
        <v>89.352530000000002</v>
      </c>
      <c r="E229">
        <v>1.307469</v>
      </c>
      <c r="F229">
        <f t="shared" si="16"/>
        <v>1.4632702621850775E-2</v>
      </c>
      <c r="G229">
        <v>23.993500000000001</v>
      </c>
      <c r="H229">
        <v>0.53650379999999998</v>
      </c>
      <c r="I229">
        <f t="shared" si="17"/>
        <v>2.2360380936503634E-2</v>
      </c>
      <c r="J229">
        <v>101.6281</v>
      </c>
      <c r="K229">
        <v>0.80192770000000002</v>
      </c>
      <c r="L229">
        <f t="shared" si="19"/>
        <v>7.8908067748978874E-3</v>
      </c>
      <c r="M229">
        <v>64.248400000000004</v>
      </c>
      <c r="N229" s="10">
        <v>1.3216000000000001</v>
      </c>
      <c r="O229" s="11">
        <f>N229/M229</f>
        <v>2.0570162058510408E-2</v>
      </c>
    </row>
    <row r="230" spans="1:15" x14ac:dyDescent="0.25">
      <c r="A230">
        <v>3503.482</v>
      </c>
      <c r="B230">
        <f>-191.7319</f>
        <v>-191.7319</v>
      </c>
      <c r="C230">
        <f t="shared" si="15"/>
        <v>-5.4726098207440482E-2</v>
      </c>
      <c r="D230">
        <v>91.392849999999996</v>
      </c>
      <c r="E230">
        <f>-4.762846</f>
        <v>-4.7628459999999997</v>
      </c>
      <c r="F230">
        <f t="shared" si="16"/>
        <v>-5.2113989223445817E-2</v>
      </c>
      <c r="G230">
        <v>24.72148</v>
      </c>
      <c r="H230">
        <f>-1.071479</f>
        <v>-1.0714790000000001</v>
      </c>
      <c r="I230">
        <f t="shared" si="17"/>
        <v>-4.3342024830228615E-2</v>
      </c>
      <c r="J230">
        <v>102.3475</v>
      </c>
      <c r="K230">
        <f>-12.10749</f>
        <v>-12.10749</v>
      </c>
      <c r="L230">
        <f t="shared" si="19"/>
        <v>-0.11829785778841692</v>
      </c>
      <c r="M230">
        <v>65.795910000000006</v>
      </c>
      <c r="N230">
        <f>-4.605906</f>
        <v>-4.6059060000000001</v>
      </c>
      <c r="O230">
        <f t="shared" si="18"/>
        <v>-7.0002922674068949E-2</v>
      </c>
    </row>
    <row r="231" spans="1:15" x14ac:dyDescent="0.25">
      <c r="A231">
        <v>3324.5889999999999</v>
      </c>
      <c r="B231">
        <f>-80.5892</f>
        <v>-80.589200000000005</v>
      </c>
      <c r="C231">
        <f t="shared" si="15"/>
        <v>-2.424034970939265E-2</v>
      </c>
      <c r="D231">
        <v>87.322860000000006</v>
      </c>
      <c r="E231">
        <f>-3.04286</f>
        <v>-3.0428600000000001</v>
      </c>
      <c r="F231">
        <f t="shared" si="16"/>
        <v>-3.4846087267411993E-2</v>
      </c>
      <c r="G231">
        <v>23.843910000000001</v>
      </c>
      <c r="H231">
        <v>-0.38391069999999999</v>
      </c>
      <c r="I231">
        <f t="shared" si="17"/>
        <v>-1.6100996019528677E-2</v>
      </c>
      <c r="J231">
        <v>90.167310000000001</v>
      </c>
      <c r="K231">
        <f>-9.837312</f>
        <v>-9.8373120000000007</v>
      </c>
      <c r="L231">
        <f t="shared" si="19"/>
        <v>-0.10910064856099179</v>
      </c>
      <c r="M231">
        <v>61.19388</v>
      </c>
      <c r="N231">
        <f>-1.43388</f>
        <v>-1.43388</v>
      </c>
      <c r="O231">
        <f t="shared" si="18"/>
        <v>-2.3431754940199903E-2</v>
      </c>
    </row>
    <row r="232" spans="1:15" x14ac:dyDescent="0.25">
      <c r="A232">
        <v>3251.922</v>
      </c>
      <c r="B232">
        <f>-15.65223</f>
        <v>-15.652229999999999</v>
      </c>
      <c r="C232">
        <f t="shared" si="15"/>
        <v>-4.8132243024279174E-3</v>
      </c>
      <c r="D232">
        <v>84.874290000000002</v>
      </c>
      <c r="E232">
        <v>-0.40429340000000002</v>
      </c>
      <c r="F232">
        <f t="shared" si="16"/>
        <v>-4.7634377854589415E-3</v>
      </c>
      <c r="G232">
        <v>23.654440000000001</v>
      </c>
      <c r="H232">
        <v>0.1355644</v>
      </c>
      <c r="I232">
        <f t="shared" si="17"/>
        <v>5.7310340046097053E-3</v>
      </c>
      <c r="J232">
        <v>80.265299999999996</v>
      </c>
      <c r="K232">
        <f>-2.895294</f>
        <v>-2.8952939999999998</v>
      </c>
      <c r="L232">
        <f t="shared" si="19"/>
        <v>-3.607155271331447E-2</v>
      </c>
      <c r="M232">
        <v>59.883510000000001</v>
      </c>
      <c r="N232">
        <v>2.626493</v>
      </c>
      <c r="O232">
        <f t="shared" si="18"/>
        <v>4.3860037596326597E-2</v>
      </c>
    </row>
    <row r="233" spans="1:15" x14ac:dyDescent="0.25">
      <c r="A233">
        <v>3237.6860000000001</v>
      </c>
      <c r="B233">
        <v>15.43399</v>
      </c>
      <c r="C233">
        <f t="shared" si="15"/>
        <v>4.7669817270729773E-3</v>
      </c>
      <c r="D233">
        <v>85.083029999999994</v>
      </c>
      <c r="E233">
        <v>0.29697279999999998</v>
      </c>
      <c r="F233">
        <f t="shared" si="16"/>
        <v>3.4903881537834279E-3</v>
      </c>
      <c r="G233">
        <v>23.983519999999999</v>
      </c>
      <c r="H233">
        <v>1.6964760000000001</v>
      </c>
      <c r="I233">
        <f t="shared" si="17"/>
        <v>7.0735071415705453E-2</v>
      </c>
      <c r="J233">
        <v>77.307680000000005</v>
      </c>
      <c r="K233">
        <v>4.2223220000000001</v>
      </c>
      <c r="L233">
        <f t="shared" si="19"/>
        <v>5.46171091927736E-2</v>
      </c>
      <c r="M233">
        <v>62.773240000000001</v>
      </c>
      <c r="N233">
        <v>0.41676489999999999</v>
      </c>
      <c r="O233">
        <f t="shared" si="18"/>
        <v>6.6392128238083612E-3</v>
      </c>
    </row>
    <row r="234" spans="1:15" x14ac:dyDescent="0.25">
      <c r="A234">
        <v>3260.308</v>
      </c>
      <c r="B234">
        <v>284.4522</v>
      </c>
      <c r="C234">
        <f t="shared" si="15"/>
        <v>8.7247033102394012E-2</v>
      </c>
      <c r="D234">
        <v>85.963800000000006</v>
      </c>
      <c r="E234">
        <v>9.1461989999999993</v>
      </c>
      <c r="F234">
        <f t="shared" si="16"/>
        <v>0.10639593642905501</v>
      </c>
      <c r="G234">
        <v>25.868300000000001</v>
      </c>
      <c r="H234">
        <v>3.4016980000000001</v>
      </c>
      <c r="I234">
        <f t="shared" si="17"/>
        <v>0.13150063977918919</v>
      </c>
      <c r="J234">
        <v>81.464320000000001</v>
      </c>
      <c r="K234">
        <v>8.8456729999999997</v>
      </c>
      <c r="L234">
        <f t="shared" si="19"/>
        <v>0.10858340191141348</v>
      </c>
      <c r="M234">
        <v>63.435809999999996</v>
      </c>
      <c r="N234">
        <v>7.8541920000000003</v>
      </c>
      <c r="O234">
        <f t="shared" si="18"/>
        <v>0.1238132215857258</v>
      </c>
    </row>
    <row r="235" spans="1:15" x14ac:dyDescent="0.25">
      <c r="A235">
        <v>3566.6379999999999</v>
      </c>
      <c r="B235">
        <v>140.18180000000001</v>
      </c>
      <c r="C235">
        <f t="shared" si="15"/>
        <v>3.93036243095038E-2</v>
      </c>
      <c r="D235">
        <v>95.594920000000002</v>
      </c>
      <c r="E235">
        <v>6.0850819999999999</v>
      </c>
      <c r="F235">
        <f t="shared" si="16"/>
        <v>6.365486785281059E-2</v>
      </c>
      <c r="G235">
        <v>29.44838</v>
      </c>
      <c r="H235">
        <v>0.8816174</v>
      </c>
      <c r="I235">
        <f t="shared" si="17"/>
        <v>2.9937721531710742E-2</v>
      </c>
      <c r="J235">
        <v>90.237250000000003</v>
      </c>
      <c r="K235">
        <v>15.20274</v>
      </c>
      <c r="L235">
        <f t="shared" si="19"/>
        <v>0.1684752139498932</v>
      </c>
      <c r="M235">
        <v>71.762550000000005</v>
      </c>
      <c r="N235">
        <v>1.8674500000000001</v>
      </c>
      <c r="O235">
        <f t="shared" si="18"/>
        <v>2.6022626007576374E-2</v>
      </c>
    </row>
    <row r="236" spans="1:15" x14ac:dyDescent="0.25">
      <c r="A236">
        <v>3732.0010000000002</v>
      </c>
      <c r="B236">
        <v>10.198969999999999</v>
      </c>
      <c r="C236">
        <f t="shared" si="15"/>
        <v>2.7328422473627415E-3</v>
      </c>
      <c r="D236">
        <v>102.0326</v>
      </c>
      <c r="E236">
        <v>-0.94257880000000005</v>
      </c>
      <c r="F236">
        <f t="shared" si="16"/>
        <v>-9.2380160850551694E-3</v>
      </c>
      <c r="G236">
        <v>30.50545</v>
      </c>
      <c r="H236">
        <v>-0.90545370000000003</v>
      </c>
      <c r="I236">
        <f t="shared" si="17"/>
        <v>-2.9681702777700381E-2</v>
      </c>
      <c r="J236">
        <v>105.35509999999999</v>
      </c>
      <c r="K236">
        <v>20.92493</v>
      </c>
      <c r="L236">
        <f t="shared" si="19"/>
        <v>0.19861335616405851</v>
      </c>
      <c r="M236">
        <v>74.171199999999999</v>
      </c>
      <c r="N236">
        <v>5.8800100000000001E-2</v>
      </c>
      <c r="O236">
        <f t="shared" si="18"/>
        <v>7.9276188062212829E-4</v>
      </c>
    </row>
    <row r="237" spans="1:15" x14ac:dyDescent="0.25">
      <c r="A237">
        <v>3776.6260000000002</v>
      </c>
      <c r="B237">
        <v>357.07429999999999</v>
      </c>
      <c r="C237">
        <f t="shared" si="15"/>
        <v>9.454849381431997E-2</v>
      </c>
      <c r="D237">
        <v>101.4147</v>
      </c>
      <c r="E237">
        <v>14.42531</v>
      </c>
      <c r="F237">
        <f t="shared" si="16"/>
        <v>0.14224081913174322</v>
      </c>
      <c r="G237">
        <v>29.777470000000001</v>
      </c>
      <c r="H237">
        <v>2.9525290000000002</v>
      </c>
      <c r="I237">
        <f t="shared" si="17"/>
        <v>9.9153118112452129E-2</v>
      </c>
      <c r="J237">
        <v>126.17829999999999</v>
      </c>
      <c r="K237">
        <v>64.301720000000003</v>
      </c>
      <c r="L237">
        <f t="shared" si="19"/>
        <v>0.5096099725547103</v>
      </c>
      <c r="M237">
        <v>74.729230000000001</v>
      </c>
      <c r="N237">
        <v>21.790769999999998</v>
      </c>
      <c r="O237">
        <f t="shared" si="18"/>
        <v>0.29159634054840383</v>
      </c>
    </row>
    <row r="238" spans="1:15" x14ac:dyDescent="0.25">
      <c r="A238">
        <v>4186.308</v>
      </c>
      <c r="B238">
        <f>-288.2283</f>
        <v>-288.22829999999999</v>
      </c>
      <c r="C238">
        <f t="shared" si="15"/>
        <v>-6.8850237488498223E-2</v>
      </c>
      <c r="D238">
        <v>115.9854</v>
      </c>
      <c r="E238">
        <f>-6.525397</f>
        <v>-6.5253969999999999</v>
      </c>
      <c r="F238">
        <f t="shared" si="16"/>
        <v>-5.6260503477161779E-2</v>
      </c>
      <c r="G238">
        <v>32.898820000000001</v>
      </c>
      <c r="H238">
        <f>-2.068823</f>
        <v>-2.0688230000000001</v>
      </c>
      <c r="I238">
        <f t="shared" si="17"/>
        <v>-6.2884413483523124E-2</v>
      </c>
      <c r="J238">
        <v>190.32660000000001</v>
      </c>
      <c r="K238">
        <v>5.9734319999999999</v>
      </c>
      <c r="L238">
        <f t="shared" si="19"/>
        <v>3.138516634038542E-2</v>
      </c>
      <c r="M238">
        <v>97.399829999999994</v>
      </c>
      <c r="N238">
        <f>-11.69982</f>
        <v>-11.699820000000001</v>
      </c>
      <c r="O238">
        <f t="shared" si="18"/>
        <v>-0.12012156489390179</v>
      </c>
    </row>
    <row r="239" spans="1:15" x14ac:dyDescent="0.25">
      <c r="A239">
        <v>3941.9140000000002</v>
      </c>
      <c r="B239">
        <v>79.075919999999996</v>
      </c>
      <c r="C239">
        <f t="shared" si="15"/>
        <v>2.006028543494353E-2</v>
      </c>
      <c r="D239">
        <v>109.6448</v>
      </c>
      <c r="E239">
        <v>7.6252040000000001</v>
      </c>
      <c r="F239">
        <f t="shared" si="16"/>
        <v>6.9544602206397382E-2</v>
      </c>
      <c r="G239">
        <v>31.004069999999999</v>
      </c>
      <c r="H239">
        <v>0.98592780000000002</v>
      </c>
      <c r="I239">
        <f t="shared" si="17"/>
        <v>3.1799947555272587E-2</v>
      </c>
      <c r="J239">
        <v>196.14189999999999</v>
      </c>
      <c r="K239">
        <v>1.7481199999999999</v>
      </c>
      <c r="L239">
        <f t="shared" si="19"/>
        <v>8.9125271041016734E-3</v>
      </c>
      <c r="M239">
        <v>86.233959999999996</v>
      </c>
      <c r="N239">
        <v>1.3860479999999999</v>
      </c>
      <c r="O239">
        <f t="shared" si="18"/>
        <v>1.6073110871865331E-2</v>
      </c>
    </row>
    <row r="240" spans="1:15" x14ac:dyDescent="0.25">
      <c r="A240">
        <v>4068.828</v>
      </c>
      <c r="B240">
        <f>-68.498</f>
        <v>-68.498000000000005</v>
      </c>
      <c r="C240">
        <f t="shared" si="15"/>
        <v>-1.6834823197245007E-2</v>
      </c>
      <c r="D240">
        <v>117.3182</v>
      </c>
      <c r="E240">
        <v>13.32184</v>
      </c>
      <c r="F240">
        <f t="shared" si="16"/>
        <v>0.11355305485423403</v>
      </c>
      <c r="G240">
        <v>32.160870000000003</v>
      </c>
      <c r="H240">
        <v>1.3091330000000001</v>
      </c>
      <c r="I240">
        <f t="shared" si="17"/>
        <v>4.0705770708317282E-2</v>
      </c>
      <c r="J240">
        <v>197.73060000000001</v>
      </c>
      <c r="K240">
        <v>2.299401</v>
      </c>
      <c r="L240">
        <f t="shared" si="19"/>
        <v>1.1628958795451994E-2</v>
      </c>
      <c r="M240">
        <v>88.143129999999999</v>
      </c>
      <c r="N240">
        <v>2.13687</v>
      </c>
      <c r="O240">
        <f t="shared" si="18"/>
        <v>2.4243182650763594E-2</v>
      </c>
    </row>
    <row r="241" spans="1:15" x14ac:dyDescent="0.25">
      <c r="A241">
        <v>4034.328</v>
      </c>
      <c r="B241">
        <v>46.701680000000003</v>
      </c>
      <c r="C241">
        <f t="shared" si="15"/>
        <v>1.1576074131800885E-2</v>
      </c>
      <c r="D241">
        <v>130.50540000000001</v>
      </c>
      <c r="E241">
        <v>10.49461</v>
      </c>
      <c r="F241">
        <f t="shared" si="16"/>
        <v>8.0415139909919428E-2</v>
      </c>
      <c r="G241">
        <v>33.636780000000002</v>
      </c>
      <c r="H241">
        <v>-0.23677790000000001</v>
      </c>
      <c r="I241">
        <f t="shared" si="17"/>
        <v>-7.0392558384007034E-3</v>
      </c>
      <c r="J241">
        <v>199.8689</v>
      </c>
      <c r="K241">
        <f>-16.83887</f>
        <v>-16.83887</v>
      </c>
      <c r="L241">
        <f t="shared" si="19"/>
        <v>-8.4249575596803711E-2</v>
      </c>
      <c r="M241">
        <v>90.838629999999995</v>
      </c>
      <c r="N241">
        <v>1.9213690000000001</v>
      </c>
      <c r="O241">
        <f t="shared" si="18"/>
        <v>2.1151452856565542E-2</v>
      </c>
    </row>
    <row r="242" spans="1:15" x14ac:dyDescent="0.25">
      <c r="A242">
        <v>4110.9059999999999</v>
      </c>
      <c r="B242">
        <f>-291.2357</f>
        <v>-291.23570000000001</v>
      </c>
      <c r="C242">
        <f t="shared" si="15"/>
        <v>-7.084465078987455E-2</v>
      </c>
      <c r="D242">
        <v>140.733</v>
      </c>
      <c r="E242">
        <f>-10.84302</f>
        <v>-10.843019999999999</v>
      </c>
      <c r="F242">
        <f t="shared" si="16"/>
        <v>-7.7046748097461148E-2</v>
      </c>
      <c r="G242">
        <v>33.566969999999998</v>
      </c>
      <c r="H242">
        <f>-2.476971</f>
        <v>-2.4769709999999998</v>
      </c>
      <c r="I242">
        <f t="shared" si="17"/>
        <v>-7.3791915087957002E-2</v>
      </c>
      <c r="J242">
        <v>182.8826</v>
      </c>
      <c r="K242">
        <f>-10.82257</f>
        <v>-10.822570000000001</v>
      </c>
      <c r="L242">
        <f t="shared" si="19"/>
        <v>-5.917769104332507E-2</v>
      </c>
      <c r="M242">
        <v>92.936390000000003</v>
      </c>
      <c r="N242">
        <f>-8.936391</f>
        <v>-8.9363910000000004</v>
      </c>
      <c r="O242">
        <f t="shared" si="18"/>
        <v>-9.6155994438776884E-2</v>
      </c>
    </row>
    <row r="243" spans="1:15" x14ac:dyDescent="0.25">
      <c r="A243">
        <v>3837.848</v>
      </c>
      <c r="B243">
        <v>16.842359999999999</v>
      </c>
      <c r="C243">
        <f t="shared" si="15"/>
        <v>4.3884906332924073E-3</v>
      </c>
      <c r="D243">
        <v>129.89490000000001</v>
      </c>
      <c r="E243">
        <v>2.0250780000000002</v>
      </c>
      <c r="F243">
        <f t="shared" si="16"/>
        <v>1.5590127095059159E-2</v>
      </c>
      <c r="G243">
        <v>31.263349999999999</v>
      </c>
      <c r="H243">
        <v>-0.30335390000000001</v>
      </c>
      <c r="I243">
        <f t="shared" si="17"/>
        <v>-9.7031796016741646E-3</v>
      </c>
      <c r="J243">
        <v>171.92140000000001</v>
      </c>
      <c r="K243">
        <v>3.4885950000000001</v>
      </c>
      <c r="L243">
        <f t="shared" si="19"/>
        <v>2.0291801951356842E-2</v>
      </c>
      <c r="M243">
        <v>84.228520000000003</v>
      </c>
      <c r="N243">
        <v>0.18148520000000001</v>
      </c>
      <c r="O243">
        <f t="shared" si="18"/>
        <v>2.1546763495310138E-3</v>
      </c>
    </row>
    <row r="244" spans="1:15" x14ac:dyDescent="0.25">
      <c r="A244">
        <v>3856.7179999999998</v>
      </c>
      <c r="B244">
        <f>-203.5881</f>
        <v>-203.5881</v>
      </c>
      <c r="C244">
        <f t="shared" si="15"/>
        <v>-5.2787914491025788E-2</v>
      </c>
      <c r="D244">
        <v>131.97659999999999</v>
      </c>
      <c r="E244">
        <f>-15.07657</f>
        <v>-15.07657</v>
      </c>
      <c r="F244">
        <f t="shared" si="16"/>
        <v>-0.11423669044360896</v>
      </c>
      <c r="G244">
        <v>31.133710000000001</v>
      </c>
      <c r="H244">
        <f>-2.833713</f>
        <v>-2.8337129999999999</v>
      </c>
      <c r="I244">
        <f t="shared" si="17"/>
        <v>-9.1017517668148126E-2</v>
      </c>
      <c r="J244">
        <v>175.2687</v>
      </c>
      <c r="K244">
        <f>-24.70871</f>
        <v>-24.70871</v>
      </c>
      <c r="L244">
        <f t="shared" si="19"/>
        <v>-0.14097616973253069</v>
      </c>
      <c r="M244">
        <v>84.609049999999996</v>
      </c>
      <c r="N244">
        <f>-8.349057</f>
        <v>-8.3490570000000002</v>
      </c>
      <c r="O244">
        <f t="shared" si="18"/>
        <v>-9.867806103484203E-2</v>
      </c>
    </row>
    <row r="245" spans="1:15" x14ac:dyDescent="0.25">
      <c r="A245">
        <v>3657.8919999999998</v>
      </c>
      <c r="B245">
        <v>274.59829999999999</v>
      </c>
      <c r="C245">
        <f t="shared" si="15"/>
        <v>7.5070095016473964E-2</v>
      </c>
      <c r="D245">
        <v>117.15730000000001</v>
      </c>
      <c r="E245">
        <v>21.312670000000001</v>
      </c>
      <c r="F245">
        <f t="shared" si="16"/>
        <v>0.18191499804109518</v>
      </c>
      <c r="G245">
        <v>28.481059999999999</v>
      </c>
      <c r="H245">
        <v>4.078938</v>
      </c>
      <c r="I245">
        <f t="shared" si="17"/>
        <v>0.14321580727683592</v>
      </c>
      <c r="J245">
        <v>150.43870000000001</v>
      </c>
      <c r="K245">
        <v>24.031279999999999</v>
      </c>
      <c r="L245">
        <f t="shared" si="19"/>
        <v>0.15974134315172889</v>
      </c>
      <c r="M245">
        <v>76.264309999999995</v>
      </c>
      <c r="N245">
        <v>8.0956930000000007</v>
      </c>
      <c r="O245">
        <f t="shared" si="18"/>
        <v>0.10615310097213233</v>
      </c>
    </row>
    <row r="246" spans="1:15" x14ac:dyDescent="0.25">
      <c r="A246">
        <v>3942.569</v>
      </c>
      <c r="B246">
        <f>-120.189</f>
        <v>-120.18899999999999</v>
      </c>
      <c r="C246">
        <f t="shared" si="15"/>
        <v>-3.0484945222264973E-2</v>
      </c>
      <c r="D246">
        <v>138.6078</v>
      </c>
      <c r="E246">
        <v>-0.97778410000000004</v>
      </c>
      <c r="F246">
        <f t="shared" si="16"/>
        <v>-7.0543223397240276E-3</v>
      </c>
      <c r="G246">
        <v>32.729289999999999</v>
      </c>
      <c r="H246">
        <f>-1.309292</f>
        <v>-1.3092919999999999</v>
      </c>
      <c r="I246">
        <f t="shared" si="17"/>
        <v>-4.0003678662140239E-2</v>
      </c>
      <c r="J246">
        <v>174.3295</v>
      </c>
      <c r="K246">
        <f>-9.179464</f>
        <v>-9.1794639999999994</v>
      </c>
      <c r="L246">
        <f t="shared" si="19"/>
        <v>-5.2655827040173922E-2</v>
      </c>
      <c r="M246">
        <v>84.45993</v>
      </c>
      <c r="N246">
        <f>-4.239933</f>
        <v>-4.2399329999999997</v>
      </c>
      <c r="O246">
        <f t="shared" si="18"/>
        <v>-5.0200527042823732E-2</v>
      </c>
    </row>
    <row r="247" spans="1:15" x14ac:dyDescent="0.25">
      <c r="A247">
        <v>3829.1210000000001</v>
      </c>
      <c r="B247">
        <v>37.719169999999998</v>
      </c>
      <c r="C247">
        <f t="shared" si="15"/>
        <v>9.8506080116037061E-3</v>
      </c>
      <c r="D247">
        <v>137.702</v>
      </c>
      <c r="E247">
        <v>2.3280319999999999</v>
      </c>
      <c r="F247">
        <f t="shared" si="16"/>
        <v>1.6906304919318528E-2</v>
      </c>
      <c r="G247">
        <v>31.59244</v>
      </c>
      <c r="H247">
        <v>0.38755790000000001</v>
      </c>
      <c r="I247">
        <f t="shared" si="17"/>
        <v>1.2267425371386319E-2</v>
      </c>
      <c r="J247">
        <v>165.017</v>
      </c>
      <c r="K247">
        <f>-1.496971</f>
        <v>-1.4969710000000001</v>
      </c>
      <c r="L247">
        <f t="shared" si="19"/>
        <v>-9.0716168637170729E-3</v>
      </c>
      <c r="M247">
        <v>80.414259999999999</v>
      </c>
      <c r="N247">
        <v>1.4257379999999999</v>
      </c>
      <c r="O247">
        <f t="shared" si="18"/>
        <v>1.7729915067302739E-2</v>
      </c>
    </row>
    <row r="248" spans="1:15" x14ac:dyDescent="0.25">
      <c r="A248">
        <v>3871.6930000000002</v>
      </c>
      <c r="B248">
        <f>-124.9834</f>
        <v>-124.9834</v>
      </c>
      <c r="C248">
        <f t="shared" si="15"/>
        <v>-3.2281330157117309E-2</v>
      </c>
      <c r="D248">
        <v>140.1635</v>
      </c>
      <c r="E248">
        <f>-6.743547</f>
        <v>-6.7435470000000004</v>
      </c>
      <c r="F248">
        <f t="shared" si="16"/>
        <v>-4.8112004908553226E-2</v>
      </c>
      <c r="G248">
        <v>32.150889999999997</v>
      </c>
      <c r="H248">
        <f>-1.690895</f>
        <v>-1.690895</v>
      </c>
      <c r="I248">
        <f t="shared" si="17"/>
        <v>-5.2592478777414881E-2</v>
      </c>
      <c r="J248">
        <v>163.38829999999999</v>
      </c>
      <c r="K248">
        <f>-12.48828</f>
        <v>-12.48828</v>
      </c>
      <c r="L248">
        <f t="shared" si="19"/>
        <v>-7.6433135053121923E-2</v>
      </c>
      <c r="M248">
        <v>82.055030000000002</v>
      </c>
      <c r="N248">
        <f>-2.89503</f>
        <v>-2.8950300000000002</v>
      </c>
      <c r="O248">
        <f t="shared" si="18"/>
        <v>-3.5281566529193883E-2</v>
      </c>
    </row>
    <row r="249" spans="1:15" x14ac:dyDescent="0.25">
      <c r="A249">
        <v>3758.6</v>
      </c>
      <c r="B249">
        <v>90.620239999999995</v>
      </c>
      <c r="C249">
        <f t="shared" si="15"/>
        <v>2.4110104826265098E-2</v>
      </c>
      <c r="D249">
        <v>133.8073</v>
      </c>
      <c r="E249">
        <v>7.7126580000000002</v>
      </c>
      <c r="F249">
        <f t="shared" si="16"/>
        <v>5.7640039071111968E-2</v>
      </c>
      <c r="G249">
        <v>30.635090000000002</v>
      </c>
      <c r="H249">
        <v>1.3849050000000001</v>
      </c>
      <c r="I249">
        <f t="shared" si="17"/>
        <v>4.5206493599333313E-2</v>
      </c>
      <c r="J249">
        <v>150.7784</v>
      </c>
      <c r="K249">
        <v>14.84155</v>
      </c>
      <c r="L249">
        <f t="shared" si="19"/>
        <v>9.8432865715513629E-2</v>
      </c>
      <c r="M249">
        <v>79.48348</v>
      </c>
      <c r="N249">
        <v>1.8265199999999999</v>
      </c>
      <c r="O249">
        <f t="shared" si="18"/>
        <v>2.2979869527604981E-2</v>
      </c>
    </row>
    <row r="250" spans="1:15" x14ac:dyDescent="0.25">
      <c r="A250">
        <v>3863.5120000000002</v>
      </c>
      <c r="B250">
        <v>67.538349999999994</v>
      </c>
      <c r="C250">
        <f t="shared" si="15"/>
        <v>1.7481076802660374E-2</v>
      </c>
      <c r="D250">
        <v>141.92099999999999</v>
      </c>
      <c r="E250">
        <v>13.279030000000001</v>
      </c>
      <c r="F250">
        <f t="shared" si="16"/>
        <v>9.3566350293473141E-2</v>
      </c>
      <c r="G250">
        <v>32.190779999999997</v>
      </c>
      <c r="H250">
        <v>1.159216</v>
      </c>
      <c r="I250">
        <f t="shared" si="17"/>
        <v>3.6010808063675383E-2</v>
      </c>
      <c r="J250">
        <v>165.48660000000001</v>
      </c>
      <c r="K250">
        <v>7.7834070000000004</v>
      </c>
      <c r="L250">
        <f t="shared" si="19"/>
        <v>4.7033457693855578E-2</v>
      </c>
      <c r="M250">
        <v>81.516620000000003</v>
      </c>
      <c r="N250">
        <v>2.383372</v>
      </c>
      <c r="O250">
        <f t="shared" si="18"/>
        <v>2.923786584870668E-2</v>
      </c>
    </row>
    <row r="251" spans="1:15" x14ac:dyDescent="0.25">
      <c r="A251">
        <v>3957.5210000000002</v>
      </c>
      <c r="B251">
        <f>-125.4813</f>
        <v>-125.4813</v>
      </c>
      <c r="C251">
        <f t="shared" si="15"/>
        <v>-3.1707045900704001E-2</v>
      </c>
      <c r="D251">
        <v>155.27670000000001</v>
      </c>
      <c r="E251">
        <f>-6.366741</f>
        <v>-6.3667410000000002</v>
      </c>
      <c r="F251">
        <f t="shared" si="16"/>
        <v>-4.1002552218072641E-2</v>
      </c>
      <c r="G251">
        <v>33.517110000000002</v>
      </c>
      <c r="H251">
        <f>-1.49711</f>
        <v>-1.4971099999999999</v>
      </c>
      <c r="I251">
        <f t="shared" si="17"/>
        <v>-4.466703722367471E-2</v>
      </c>
      <c r="J251">
        <v>173.13040000000001</v>
      </c>
      <c r="K251">
        <f>-11.42043</f>
        <v>-11.42043</v>
      </c>
      <c r="L251">
        <f t="shared" si="19"/>
        <v>-6.596432515606733E-2</v>
      </c>
      <c r="M251">
        <v>84.231489999999994</v>
      </c>
      <c r="N251">
        <f>-3.351489</f>
        <v>-3.3514889999999999</v>
      </c>
      <c r="O251">
        <f t="shared" si="18"/>
        <v>-3.9789026645498021E-2</v>
      </c>
    </row>
    <row r="252" spans="1:15" x14ac:dyDescent="0.25">
      <c r="A252">
        <v>3842.1880000000001</v>
      </c>
      <c r="B252">
        <v>9.7819599999999998</v>
      </c>
      <c r="C252">
        <f t="shared" si="15"/>
        <v>2.5459347642541176E-3</v>
      </c>
      <c r="D252">
        <v>149.0984</v>
      </c>
      <c r="E252">
        <v>5.2415459999999996</v>
      </c>
      <c r="F252">
        <f t="shared" si="16"/>
        <v>3.5154944654000306E-2</v>
      </c>
      <c r="G252">
        <v>32.190779999999997</v>
      </c>
      <c r="H252">
        <v>0.15921569999999999</v>
      </c>
      <c r="I252">
        <f t="shared" si="17"/>
        <v>4.9460031723369243E-3</v>
      </c>
      <c r="J252">
        <v>161.5797</v>
      </c>
      <c r="K252">
        <v>-0.43974220000000003</v>
      </c>
      <c r="L252">
        <f t="shared" si="19"/>
        <v>-2.7215188541629921E-3</v>
      </c>
      <c r="M252">
        <v>81.127200000000002</v>
      </c>
      <c r="N252">
        <v>-0.1071999</v>
      </c>
      <c r="O252">
        <f t="shared" si="18"/>
        <v>-1.3213804987722982E-3</v>
      </c>
    </row>
    <row r="253" spans="1:15" x14ac:dyDescent="0.25">
      <c r="A253">
        <v>3867.8130000000001</v>
      </c>
      <c r="B253">
        <f>-31.29277</f>
        <v>-31.292770000000001</v>
      </c>
      <c r="C253">
        <f t="shared" si="15"/>
        <v>-8.0905591868066003E-3</v>
      </c>
      <c r="D253">
        <v>154.27099999999999</v>
      </c>
      <c r="E253">
        <v>1.529034</v>
      </c>
      <c r="F253">
        <f t="shared" si="16"/>
        <v>9.911350804752677E-3</v>
      </c>
      <c r="G253">
        <v>32.519869999999997</v>
      </c>
      <c r="H253">
        <v>2.3301270000000001</v>
      </c>
      <c r="I253">
        <f t="shared" si="17"/>
        <v>7.1652408204583851E-2</v>
      </c>
      <c r="J253">
        <v>161.0102</v>
      </c>
      <c r="K253">
        <v>-0.82020130000000002</v>
      </c>
      <c r="L253">
        <f t="shared" si="19"/>
        <v>-5.0940952809200909E-3</v>
      </c>
      <c r="M253">
        <v>81.320890000000006</v>
      </c>
      <c r="N253">
        <v>-0.74089499999999997</v>
      </c>
      <c r="O253">
        <f t="shared" si="18"/>
        <v>-9.1107586254897104E-3</v>
      </c>
    </row>
    <row r="254" spans="1:15" x14ac:dyDescent="0.25">
      <c r="A254">
        <v>3849.777</v>
      </c>
      <c r="B254">
        <v>228.81319999999999</v>
      </c>
      <c r="C254">
        <f t="shared" si="15"/>
        <v>5.9435442624339016E-2</v>
      </c>
      <c r="D254">
        <v>155.9726</v>
      </c>
      <c r="E254">
        <v>1.837415</v>
      </c>
      <c r="F254">
        <f t="shared" si="16"/>
        <v>1.1780370398390487E-2</v>
      </c>
      <c r="G254">
        <v>35.012970000000003</v>
      </c>
      <c r="H254">
        <v>4.2670349999999999</v>
      </c>
      <c r="I254">
        <f t="shared" si="17"/>
        <v>0.12187012412828731</v>
      </c>
      <c r="J254">
        <v>160.06100000000001</v>
      </c>
      <c r="K254">
        <v>6.7890329999999999</v>
      </c>
      <c r="L254">
        <f t="shared" si="19"/>
        <v>4.2415285422432697E-2</v>
      </c>
      <c r="M254">
        <v>80.832030000000003</v>
      </c>
      <c r="N254">
        <v>5.167967</v>
      </c>
      <c r="O254">
        <f t="shared" si="18"/>
        <v>6.3934643234866181E-2</v>
      </c>
    </row>
    <row r="255" spans="1:15" x14ac:dyDescent="0.25">
      <c r="A255">
        <v>4106.5879999999997</v>
      </c>
      <c r="B255">
        <f>-78.1177</f>
        <v>-78.117699999999999</v>
      </c>
      <c r="C255">
        <f t="shared" si="15"/>
        <v>-1.9022531600442996E-2</v>
      </c>
      <c r="D255">
        <v>157.94460000000001</v>
      </c>
      <c r="E255">
        <f>-5.974564</f>
        <v>-5.974564</v>
      </c>
      <c r="F255">
        <f t="shared" si="16"/>
        <v>-3.7826959579498123E-2</v>
      </c>
      <c r="G255">
        <v>39.430729999999997</v>
      </c>
      <c r="H255">
        <f>-1.510725</f>
        <v>-1.5107250000000001</v>
      </c>
      <c r="I255">
        <f t="shared" si="17"/>
        <v>-3.8313391611060718E-2</v>
      </c>
      <c r="J255">
        <v>166.71559999999999</v>
      </c>
      <c r="K255">
        <f>-5.315602</f>
        <v>-5.3156020000000002</v>
      </c>
      <c r="L255">
        <f t="shared" si="19"/>
        <v>-3.1884250783969829E-2</v>
      </c>
      <c r="M255">
        <v>86.298230000000004</v>
      </c>
      <c r="N255">
        <f>-2.848233</f>
        <v>-2.848233</v>
      </c>
      <c r="O255">
        <f t="shared" si="18"/>
        <v>-3.3004535550729137E-2</v>
      </c>
    </row>
    <row r="256" spans="1:15" x14ac:dyDescent="0.25">
      <c r="A256">
        <v>4049.944</v>
      </c>
      <c r="B256">
        <f>-18.39426</f>
        <v>-18.394259999999999</v>
      </c>
      <c r="C256">
        <f t="shared" si="15"/>
        <v>-4.5418553935560593E-3</v>
      </c>
      <c r="D256">
        <v>152.21449999999999</v>
      </c>
      <c r="E256">
        <f>-1.664539</f>
        <v>-1.664539</v>
      </c>
      <c r="F256">
        <f t="shared" si="16"/>
        <v>-1.0935482493454961E-2</v>
      </c>
      <c r="G256">
        <v>38.074480000000001</v>
      </c>
      <c r="H256">
        <v>1.3755170000000001</v>
      </c>
      <c r="I256">
        <f t="shared" si="17"/>
        <v>3.6127006856035856E-2</v>
      </c>
      <c r="J256">
        <v>161.27000000000001</v>
      </c>
      <c r="K256">
        <v>0.85000810000000004</v>
      </c>
      <c r="L256">
        <f t="shared" si="19"/>
        <v>5.2707143300055803E-3</v>
      </c>
      <c r="M256">
        <v>83.760930000000002</v>
      </c>
      <c r="N256">
        <f>-2.080928</f>
        <v>-2.0809280000000001</v>
      </c>
      <c r="O256">
        <f t="shared" si="18"/>
        <v>-2.4843659209610017E-2</v>
      </c>
    </row>
    <row r="257" spans="1:15" x14ac:dyDescent="0.25">
      <c r="A257">
        <v>4049.4850000000001</v>
      </c>
      <c r="B257">
        <f>-15.07463</f>
        <v>-15.074630000000001</v>
      </c>
      <c r="C257">
        <f t="shared" si="15"/>
        <v>-3.7226042323900447E-3</v>
      </c>
      <c r="D257">
        <v>150.73400000000001</v>
      </c>
      <c r="E257">
        <v>0.1060405</v>
      </c>
      <c r="F257">
        <f t="shared" si="16"/>
        <v>7.0349423487733355E-4</v>
      </c>
      <c r="G257">
        <v>39.600250000000003</v>
      </c>
      <c r="H257">
        <v>-0.61025510000000005</v>
      </c>
      <c r="I257">
        <f t="shared" si="17"/>
        <v>-1.541038503544801E-2</v>
      </c>
      <c r="J257">
        <v>161.98939999999999</v>
      </c>
      <c r="K257">
        <f>-1.709412</f>
        <v>-1.7094119999999999</v>
      </c>
      <c r="L257">
        <f t="shared" si="19"/>
        <v>-1.0552616405764822E-2</v>
      </c>
      <c r="M257">
        <v>81.956999999999994</v>
      </c>
      <c r="N257">
        <v>3.8930009999999999</v>
      </c>
      <c r="O257">
        <f t="shared" si="18"/>
        <v>4.7500530766133461E-2</v>
      </c>
    </row>
    <row r="258" spans="1:15" x14ac:dyDescent="0.25">
      <c r="A258">
        <v>4056.8820000000001</v>
      </c>
      <c r="B258">
        <f>-382.8623</f>
        <v>-382.8623</v>
      </c>
      <c r="C258">
        <f t="shared" si="15"/>
        <v>-9.4373536129470859E-2</v>
      </c>
      <c r="D258">
        <v>151.1183</v>
      </c>
      <c r="E258">
        <f>-23.30827</f>
        <v>-23.30827</v>
      </c>
      <c r="F258">
        <f t="shared" si="16"/>
        <v>-0.15423856673877354</v>
      </c>
      <c r="G258">
        <v>39.141530000000003</v>
      </c>
      <c r="H258">
        <f>-5.461526</f>
        <v>-5.4615260000000001</v>
      </c>
      <c r="I258">
        <f t="shared" si="17"/>
        <v>-0.13953276737010534</v>
      </c>
      <c r="J258">
        <v>160.15090000000001</v>
      </c>
      <c r="K258">
        <f>-26.24089</f>
        <v>-26.24089</v>
      </c>
      <c r="L258">
        <f t="shared" si="19"/>
        <v>-0.16385103049686264</v>
      </c>
      <c r="M258">
        <v>86.209040000000002</v>
      </c>
      <c r="N258">
        <f>-12.59904</f>
        <v>-12.59904</v>
      </c>
      <c r="O258">
        <f t="shared" si="18"/>
        <v>-0.14614523024499518</v>
      </c>
    </row>
    <row r="259" spans="1:15" x14ac:dyDescent="0.25">
      <c r="A259">
        <v>3681.652</v>
      </c>
      <c r="B259">
        <v>5.3179879999999997</v>
      </c>
      <c r="C259">
        <f t="shared" si="15"/>
        <v>1.4444569991949264E-3</v>
      </c>
      <c r="D259">
        <v>128.57310000000001</v>
      </c>
      <c r="E259">
        <f>-1.043123</f>
        <v>-1.043123</v>
      </c>
      <c r="F259">
        <f t="shared" si="16"/>
        <v>-8.1130734189344429E-3</v>
      </c>
      <c r="G259">
        <v>33.846200000000003</v>
      </c>
      <c r="H259">
        <f>-1.386198</f>
        <v>-1.386198</v>
      </c>
      <c r="I259">
        <f t="shared" si="17"/>
        <v>-4.0955794151189794E-2</v>
      </c>
      <c r="J259">
        <v>133.8021</v>
      </c>
      <c r="K259">
        <f>-2.302135</f>
        <v>-2.3021349999999998</v>
      </c>
      <c r="L259">
        <f t="shared" si="19"/>
        <v>-1.720552218537676E-2</v>
      </c>
      <c r="M259">
        <v>73.649320000000003</v>
      </c>
      <c r="N259">
        <v>0.230681</v>
      </c>
      <c r="O259">
        <f t="shared" si="18"/>
        <v>3.1321538338711066E-3</v>
      </c>
    </row>
    <row r="260" spans="1:15" x14ac:dyDescent="0.25">
      <c r="A260">
        <v>3695.7939999999999</v>
      </c>
      <c r="B260">
        <f>-36.92406</f>
        <v>-36.924059999999997</v>
      </c>
      <c r="C260">
        <f t="shared" ref="C260:C323" si="20">B260/A260</f>
        <v>-9.9908328223921559E-3</v>
      </c>
      <c r="D260">
        <v>128.22059999999999</v>
      </c>
      <c r="E260">
        <f>-2.310648</f>
        <v>-2.310648</v>
      </c>
      <c r="F260">
        <f t="shared" ref="F260:F323" si="21">E260/D260</f>
        <v>-1.8020879640245017E-2</v>
      </c>
      <c r="G260">
        <v>32.629570000000001</v>
      </c>
      <c r="H260">
        <v>-0.22956860000000001</v>
      </c>
      <c r="I260">
        <f t="shared" ref="I260:I323" si="22">H260/G260</f>
        <v>-7.0355999174981469E-3</v>
      </c>
      <c r="J260">
        <v>131.39410000000001</v>
      </c>
      <c r="K260">
        <v>3.1059239999999999</v>
      </c>
      <c r="L260">
        <f t="shared" si="19"/>
        <v>2.3638230331498901E-2</v>
      </c>
      <c r="M260">
        <v>73.972819999999999</v>
      </c>
      <c r="N260">
        <v>-0.36282490000000001</v>
      </c>
      <c r="O260">
        <f t="shared" ref="O260:O323" si="23">N260/M260</f>
        <v>-4.9048407239307631E-3</v>
      </c>
    </row>
    <row r="261" spans="1:15" x14ac:dyDescent="0.25">
      <c r="A261">
        <v>3655.7829999999999</v>
      </c>
      <c r="B261">
        <f>-98.47282</f>
        <v>-98.472819999999999</v>
      </c>
      <c r="C261">
        <f t="shared" si="20"/>
        <v>-2.6936177557584793E-2</v>
      </c>
      <c r="D261">
        <v>126.68899999999999</v>
      </c>
      <c r="E261">
        <f>-9.708985</f>
        <v>-9.7089850000000002</v>
      </c>
      <c r="F261">
        <f t="shared" si="21"/>
        <v>-7.6636369376978278E-2</v>
      </c>
      <c r="G261">
        <v>32.56973</v>
      </c>
      <c r="H261">
        <f>-2.189734</f>
        <v>-2.1897340000000001</v>
      </c>
      <c r="I261">
        <f t="shared" si="22"/>
        <v>-6.7232181537888097E-2</v>
      </c>
      <c r="J261">
        <v>134.39169999999999</v>
      </c>
      <c r="K261">
        <f>-7.91166</f>
        <v>-7.9116600000000004</v>
      </c>
      <c r="L261">
        <f t="shared" ref="L261:L324" si="24">K261/J261</f>
        <v>-5.887015343953534E-2</v>
      </c>
      <c r="M261">
        <v>73.731890000000007</v>
      </c>
      <c r="N261">
        <f>-3.301888</f>
        <v>-3.3018879999999999</v>
      </c>
      <c r="O261">
        <f t="shared" si="23"/>
        <v>-4.4782359437686999E-2</v>
      </c>
    </row>
    <row r="262" spans="1:15" x14ac:dyDescent="0.25">
      <c r="A262">
        <v>3552.5329999999999</v>
      </c>
      <c r="B262">
        <v>151.68709999999999</v>
      </c>
      <c r="C262">
        <f t="shared" si="20"/>
        <v>4.2698294428229096E-2</v>
      </c>
      <c r="D262">
        <v>117.9003</v>
      </c>
      <c r="E262">
        <v>11.269679999999999</v>
      </c>
      <c r="F262">
        <f t="shared" si="21"/>
        <v>9.5586525225126645E-2</v>
      </c>
      <c r="G262">
        <v>30.555319999999998</v>
      </c>
      <c r="H262">
        <v>1.824684</v>
      </c>
      <c r="I262">
        <f t="shared" si="22"/>
        <v>5.9717391275889112E-2</v>
      </c>
      <c r="J262">
        <v>126.3781</v>
      </c>
      <c r="K262">
        <v>7.5918799999999997</v>
      </c>
      <c r="L262">
        <f t="shared" si="24"/>
        <v>6.0072749946391023E-2</v>
      </c>
      <c r="M262">
        <v>70.416039999999995</v>
      </c>
      <c r="N262">
        <v>2.483965</v>
      </c>
      <c r="O262">
        <f t="shared" si="23"/>
        <v>3.5275556535130349E-2</v>
      </c>
    </row>
    <row r="263" spans="1:15" x14ac:dyDescent="0.25">
      <c r="A263">
        <v>3704.991</v>
      </c>
      <c r="B263">
        <f>-73.48141</f>
        <v>-73.481409999999997</v>
      </c>
      <c r="C263">
        <f t="shared" si="20"/>
        <v>-1.9833087313842326E-2</v>
      </c>
      <c r="D263">
        <v>129.946</v>
      </c>
      <c r="E263">
        <f>-8.135979</f>
        <v>-8.1359790000000007</v>
      </c>
      <c r="F263">
        <f t="shared" si="21"/>
        <v>-6.2610461268526929E-2</v>
      </c>
      <c r="G263">
        <v>32.549790000000002</v>
      </c>
      <c r="H263">
        <f>-1.10979</f>
        <v>-1.1097900000000001</v>
      </c>
      <c r="I263">
        <f t="shared" si="22"/>
        <v>-3.4095150844291162E-2</v>
      </c>
      <c r="J263">
        <v>133.8621</v>
      </c>
      <c r="K263">
        <f>-5.172087</f>
        <v>-5.1720870000000003</v>
      </c>
      <c r="L263">
        <f t="shared" si="24"/>
        <v>-3.863742612733552E-2</v>
      </c>
      <c r="M263">
        <v>73.163600000000002</v>
      </c>
      <c r="N263">
        <f>-2.523593</f>
        <v>-2.523593</v>
      </c>
      <c r="O263">
        <f t="shared" si="23"/>
        <v>-3.4492466199038868E-2</v>
      </c>
    </row>
    <row r="264" spans="1:15" x14ac:dyDescent="0.25">
      <c r="A264">
        <v>3629.3389999999999</v>
      </c>
      <c r="B264">
        <v>22.53077</v>
      </c>
      <c r="C264">
        <f t="shared" si="20"/>
        <v>6.2079541205712664E-3</v>
      </c>
      <c r="D264">
        <v>122.617</v>
      </c>
      <c r="E264">
        <v>0.95302719999999996</v>
      </c>
      <c r="F264">
        <f t="shared" si="21"/>
        <v>7.7723904515687049E-3</v>
      </c>
      <c r="G264">
        <v>31.612390000000001</v>
      </c>
      <c r="H264">
        <v>0.2376132</v>
      </c>
      <c r="I264">
        <f t="shared" si="22"/>
        <v>7.5164579457611394E-3</v>
      </c>
      <c r="J264">
        <v>128.58629999999999</v>
      </c>
      <c r="K264">
        <v>0.61366019999999999</v>
      </c>
      <c r="L264">
        <f t="shared" si="24"/>
        <v>4.7723606636165756E-3</v>
      </c>
      <c r="M264">
        <v>70.858530000000002</v>
      </c>
      <c r="N264">
        <v>0.70147309999999996</v>
      </c>
      <c r="O264">
        <f t="shared" si="23"/>
        <v>9.8996281746177913E-3</v>
      </c>
    </row>
    <row r="265" spans="1:15" x14ac:dyDescent="0.25">
      <c r="A265">
        <v>3666.6010000000001</v>
      </c>
      <c r="B265">
        <v>11.38869</v>
      </c>
      <c r="C265">
        <f t="shared" si="20"/>
        <v>3.1060619903829187E-3</v>
      </c>
      <c r="D265">
        <v>124.33540000000001</v>
      </c>
      <c r="E265">
        <v>-0.6853726</v>
      </c>
      <c r="F265">
        <f t="shared" si="21"/>
        <v>-5.5122885356865383E-3</v>
      </c>
      <c r="G265">
        <v>32.021259999999998</v>
      </c>
      <c r="H265">
        <v>-0.11125400000000001</v>
      </c>
      <c r="I265">
        <f t="shared" si="22"/>
        <v>-3.4743792093128133E-3</v>
      </c>
      <c r="J265">
        <v>129.0959</v>
      </c>
      <c r="K265">
        <v>1.9940709999999999</v>
      </c>
      <c r="L265">
        <f t="shared" si="24"/>
        <v>1.5446431683732791E-2</v>
      </c>
      <c r="M265">
        <v>71.799930000000003</v>
      </c>
      <c r="N265">
        <v>0.61006760000000004</v>
      </c>
      <c r="O265">
        <f t="shared" si="23"/>
        <v>8.4967715149583019E-3</v>
      </c>
    </row>
    <row r="266" spans="1:15" x14ac:dyDescent="0.25">
      <c r="A266">
        <v>3693.1529999999998</v>
      </c>
      <c r="B266">
        <f>-40.77328</f>
        <v>-40.77328</v>
      </c>
      <c r="C266">
        <f t="shared" si="20"/>
        <v>-1.1040235809347732E-2</v>
      </c>
      <c r="D266">
        <v>124.4178</v>
      </c>
      <c r="E266">
        <f>-2.807785</f>
        <v>-2.807785</v>
      </c>
      <c r="F266">
        <f t="shared" si="21"/>
        <v>-2.2567389875082184E-2</v>
      </c>
      <c r="G266">
        <v>32.081090000000003</v>
      </c>
      <c r="H266">
        <v>-0.60108819999999996</v>
      </c>
      <c r="I266">
        <f t="shared" si="22"/>
        <v>-1.8736526720257943E-2</v>
      </c>
      <c r="J266">
        <v>130.98439999999999</v>
      </c>
      <c r="K266">
        <f>-2.434407</f>
        <v>-2.4344070000000002</v>
      </c>
      <c r="L266">
        <f t="shared" si="24"/>
        <v>-1.8585472773857043E-2</v>
      </c>
      <c r="M266">
        <v>72.725719999999995</v>
      </c>
      <c r="N266">
        <f>-1.005721</f>
        <v>-1.0057210000000001</v>
      </c>
      <c r="O266">
        <f t="shared" si="23"/>
        <v>-1.3828958998274615E-2</v>
      </c>
    </row>
    <row r="267" spans="1:15" x14ac:dyDescent="0.25">
      <c r="A267">
        <v>3667.808</v>
      </c>
      <c r="B267">
        <v>57.641550000000002</v>
      </c>
      <c r="C267">
        <f t="shared" si="20"/>
        <v>1.5715530911105488E-2</v>
      </c>
      <c r="D267">
        <v>122.12649999999999</v>
      </c>
      <c r="E267">
        <v>2.5035270000000001</v>
      </c>
      <c r="F267">
        <f t="shared" si="21"/>
        <v>2.0499457529692573E-2</v>
      </c>
      <c r="G267">
        <v>31.652280000000001</v>
      </c>
      <c r="H267">
        <v>0.83772369999999996</v>
      </c>
      <c r="I267">
        <f t="shared" si="22"/>
        <v>2.6466456760776788E-2</v>
      </c>
      <c r="J267">
        <v>128.44649999999999</v>
      </c>
      <c r="K267">
        <v>1.6935469999999999</v>
      </c>
      <c r="L267">
        <f t="shared" si="24"/>
        <v>1.3184843495151678E-2</v>
      </c>
      <c r="M267">
        <v>71.976330000000004</v>
      </c>
      <c r="N267">
        <v>1.893672</v>
      </c>
      <c r="O267">
        <f t="shared" si="23"/>
        <v>2.6309649297206455E-2</v>
      </c>
    </row>
    <row r="268" spans="1:15" x14ac:dyDescent="0.25">
      <c r="A268">
        <v>3748.248</v>
      </c>
      <c r="B268">
        <f>-147.8777</f>
        <v>-147.8777</v>
      </c>
      <c r="C268">
        <f t="shared" si="20"/>
        <v>-3.9452485534575088E-2</v>
      </c>
      <c r="D268">
        <v>125.10129999999999</v>
      </c>
      <c r="E268">
        <f>-5.461269</f>
        <v>-5.4612689999999997</v>
      </c>
      <c r="F268">
        <f t="shared" si="21"/>
        <v>-4.3654774171011809E-2</v>
      </c>
      <c r="G268">
        <v>32.659480000000002</v>
      </c>
      <c r="H268">
        <f>-1.469486</f>
        <v>-1.4694860000000001</v>
      </c>
      <c r="I268">
        <f t="shared" si="22"/>
        <v>-4.4994164022207336E-2</v>
      </c>
      <c r="J268">
        <v>130.0352</v>
      </c>
      <c r="K268">
        <f>-6.115172</f>
        <v>-6.1151720000000003</v>
      </c>
      <c r="L268">
        <f t="shared" si="24"/>
        <v>-4.7027051136922925E-2</v>
      </c>
      <c r="M268">
        <v>74.207490000000007</v>
      </c>
      <c r="N268">
        <f>-4.167487</f>
        <v>-4.1674870000000004</v>
      </c>
      <c r="O268">
        <f t="shared" si="23"/>
        <v>-5.6159924018451504E-2</v>
      </c>
    </row>
    <row r="269" spans="1:15" x14ac:dyDescent="0.25">
      <c r="A269">
        <v>3611.7579999999998</v>
      </c>
      <c r="B269">
        <f>-36.67764</f>
        <v>-36.677639999999997</v>
      </c>
      <c r="C269">
        <f t="shared" si="20"/>
        <v>-1.0155065760219815E-2</v>
      </c>
      <c r="D269">
        <v>120.16070000000001</v>
      </c>
      <c r="E269">
        <f>-3.05068</f>
        <v>-3.0506799999999998</v>
      </c>
      <c r="F269">
        <f t="shared" si="21"/>
        <v>-2.5388334122554212E-2</v>
      </c>
      <c r="G269">
        <v>31.36308</v>
      </c>
      <c r="H269">
        <v>-0.15307760000000001</v>
      </c>
      <c r="I269">
        <f t="shared" si="22"/>
        <v>-4.8808216539957174E-3</v>
      </c>
      <c r="J269">
        <v>123.8202</v>
      </c>
      <c r="K269">
        <f>-1.110182</f>
        <v>-1.110182</v>
      </c>
      <c r="L269">
        <f t="shared" si="24"/>
        <v>-8.9660814632830516E-3</v>
      </c>
      <c r="M269">
        <v>70.292270000000002</v>
      </c>
      <c r="N269">
        <v>-0.37227480000000002</v>
      </c>
      <c r="O269">
        <f t="shared" si="23"/>
        <v>-5.2960987033140346E-3</v>
      </c>
    </row>
    <row r="270" spans="1:15" x14ac:dyDescent="0.25">
      <c r="A270">
        <v>3588.74</v>
      </c>
      <c r="B270">
        <v>16.820170000000001</v>
      </c>
      <c r="C270">
        <f t="shared" si="20"/>
        <v>4.6869291171831905E-3</v>
      </c>
      <c r="D270">
        <v>117.5573</v>
      </c>
      <c r="E270">
        <v>1.152695</v>
      </c>
      <c r="F270">
        <f t="shared" si="21"/>
        <v>9.8053885211722286E-3</v>
      </c>
      <c r="G270">
        <v>31.383019999999998</v>
      </c>
      <c r="H270">
        <v>0.2869777</v>
      </c>
      <c r="I270">
        <f t="shared" si="22"/>
        <v>9.1443621423304717E-3</v>
      </c>
      <c r="J270">
        <v>122.6112</v>
      </c>
      <c r="K270">
        <v>5.828843</v>
      </c>
      <c r="L270">
        <f t="shared" si="24"/>
        <v>4.7539237851028295E-2</v>
      </c>
      <c r="M270">
        <v>70.153909999999996</v>
      </c>
      <c r="N270">
        <v>1.62609</v>
      </c>
      <c r="O270">
        <f t="shared" si="23"/>
        <v>2.3178893378858E-2</v>
      </c>
    </row>
    <row r="271" spans="1:15" x14ac:dyDescent="0.25">
      <c r="A271">
        <v>3619.489</v>
      </c>
      <c r="B271">
        <f>-34.98923</f>
        <v>-34.989229999999999</v>
      </c>
      <c r="C271">
        <f t="shared" si="20"/>
        <v>-9.6668977305912514E-3</v>
      </c>
      <c r="D271">
        <v>119.2831</v>
      </c>
      <c r="E271">
        <f>-1.823125</f>
        <v>-1.8231250000000001</v>
      </c>
      <c r="F271">
        <f t="shared" si="21"/>
        <v>-1.5284017601822891E-2</v>
      </c>
      <c r="G271">
        <v>31.841750000000001</v>
      </c>
      <c r="H271">
        <v>0.1982487</v>
      </c>
      <c r="I271">
        <f t="shared" si="22"/>
        <v>6.2260616957296629E-3</v>
      </c>
      <c r="J271">
        <v>128.3365</v>
      </c>
      <c r="K271">
        <v>3.873459</v>
      </c>
      <c r="L271">
        <f t="shared" si="24"/>
        <v>3.0182052650648879E-2</v>
      </c>
      <c r="M271">
        <v>72.059939999999997</v>
      </c>
      <c r="N271">
        <v>-0.98994079999999995</v>
      </c>
      <c r="O271">
        <f t="shared" si="23"/>
        <v>-1.3737741108305114E-2</v>
      </c>
    </row>
    <row r="272" spans="1:15" x14ac:dyDescent="0.25">
      <c r="A272">
        <v>3596.4459999999999</v>
      </c>
      <c r="B272">
        <v>10.943809999999999</v>
      </c>
      <c r="C272">
        <f t="shared" si="20"/>
        <v>3.0429512913581905E-3</v>
      </c>
      <c r="D272">
        <v>117.9611</v>
      </c>
      <c r="E272">
        <v>-0.371089</v>
      </c>
      <c r="F272">
        <f t="shared" si="21"/>
        <v>-3.1458591010087222E-3</v>
      </c>
      <c r="G272">
        <v>32.210729999999998</v>
      </c>
      <c r="H272">
        <v>0.60927100000000001</v>
      </c>
      <c r="I272">
        <f t="shared" si="22"/>
        <v>1.8915156533242185E-2</v>
      </c>
      <c r="J272">
        <v>132.1035</v>
      </c>
      <c r="K272">
        <f>-2.583504</f>
        <v>-2.583504</v>
      </c>
      <c r="L272">
        <f t="shared" si="24"/>
        <v>-1.9556665796137119E-2</v>
      </c>
      <c r="M272">
        <v>71.296310000000005</v>
      </c>
      <c r="N272">
        <v>1.943689</v>
      </c>
      <c r="O272">
        <f t="shared" si="23"/>
        <v>2.7262126188578342E-2</v>
      </c>
    </row>
    <row r="273" spans="1:15" x14ac:dyDescent="0.25">
      <c r="A273">
        <v>3621.3670000000002</v>
      </c>
      <c r="B273">
        <f>-21.64726</f>
        <v>-21.647259999999999</v>
      </c>
      <c r="C273">
        <f t="shared" si="20"/>
        <v>-5.9776487718588029E-3</v>
      </c>
      <c r="D273">
        <v>118.11069999999999</v>
      </c>
      <c r="E273">
        <f>-1.740653</f>
        <v>-1.740653</v>
      </c>
      <c r="F273">
        <f t="shared" si="21"/>
        <v>-1.473747086419774E-2</v>
      </c>
      <c r="G273">
        <v>32.988570000000003</v>
      </c>
      <c r="H273">
        <v>-1.8573900000000001E-2</v>
      </c>
      <c r="I273">
        <f t="shared" si="22"/>
        <v>-5.6304047129051064E-4</v>
      </c>
      <c r="J273">
        <v>129.41569999999999</v>
      </c>
      <c r="K273">
        <v>-0.97567130000000002</v>
      </c>
      <c r="L273">
        <f t="shared" si="24"/>
        <v>-7.5390489716471816E-3</v>
      </c>
      <c r="M273">
        <v>73.577830000000006</v>
      </c>
      <c r="N273">
        <v>0.2121692</v>
      </c>
      <c r="O273">
        <f t="shared" si="23"/>
        <v>2.8836023024870396E-3</v>
      </c>
    </row>
    <row r="274" spans="1:15" x14ac:dyDescent="0.25">
      <c r="A274">
        <v>3610.1329999999998</v>
      </c>
      <c r="B274">
        <f>-5.443223</f>
        <v>-5.4432229999999997</v>
      </c>
      <c r="C274">
        <f t="shared" si="20"/>
        <v>-1.5077624563970358E-3</v>
      </c>
      <c r="D274">
        <v>116.9085</v>
      </c>
      <c r="E274">
        <v>-0.39851259999999999</v>
      </c>
      <c r="F274">
        <f t="shared" si="21"/>
        <v>-3.4087564206195442E-3</v>
      </c>
      <c r="G274">
        <v>33.138159999999999</v>
      </c>
      <c r="H274">
        <v>-5.81594E-2</v>
      </c>
      <c r="I274">
        <f t="shared" si="22"/>
        <v>-1.7550582168714256E-3</v>
      </c>
      <c r="J274">
        <v>128.3365</v>
      </c>
      <c r="K274">
        <f>-1.176541</f>
        <v>-1.1765410000000001</v>
      </c>
      <c r="L274">
        <f t="shared" si="24"/>
        <v>-9.1676257339104623E-3</v>
      </c>
      <c r="M274">
        <v>74.139840000000007</v>
      </c>
      <c r="N274">
        <v>4.0163999999999998E-2</v>
      </c>
      <c r="O274">
        <f t="shared" si="23"/>
        <v>5.4173302774864352E-4</v>
      </c>
    </row>
    <row r="275" spans="1:15" x14ac:dyDescent="0.25">
      <c r="A275">
        <v>3620.8879999999999</v>
      </c>
      <c r="B275">
        <f>-36.60826</f>
        <v>-36.608260000000001</v>
      </c>
      <c r="C275">
        <f t="shared" si="20"/>
        <v>-1.0110298910101611E-2</v>
      </c>
      <c r="D275">
        <v>117.0218</v>
      </c>
      <c r="E275">
        <f>-3.731812</f>
        <v>-3.7318120000000001</v>
      </c>
      <c r="F275">
        <f t="shared" si="21"/>
        <v>-3.1889887183413693E-2</v>
      </c>
      <c r="G275">
        <v>33.247860000000003</v>
      </c>
      <c r="H275">
        <v>-0.72785549999999999</v>
      </c>
      <c r="I275">
        <f t="shared" si="22"/>
        <v>-2.1891799953440611E-2</v>
      </c>
      <c r="J275">
        <v>127.05759999999999</v>
      </c>
      <c r="K275">
        <f>-4.017572</f>
        <v>-4.0175720000000004</v>
      </c>
      <c r="L275">
        <f t="shared" si="24"/>
        <v>-3.1620084119328561E-2</v>
      </c>
      <c r="M275">
        <v>74.501170000000002</v>
      </c>
      <c r="N275">
        <f>-3.051172</f>
        <v>-3.0511720000000002</v>
      </c>
      <c r="O275">
        <f t="shared" si="23"/>
        <v>-4.0954685678090692E-2</v>
      </c>
    </row>
    <row r="276" spans="1:15" x14ac:dyDescent="0.25">
      <c r="A276">
        <v>3600.819</v>
      </c>
      <c r="B276">
        <f>-131.9491</f>
        <v>-131.94909999999999</v>
      </c>
      <c r="C276">
        <f t="shared" si="20"/>
        <v>-3.6644191224274252E-2</v>
      </c>
      <c r="D276">
        <v>113.883</v>
      </c>
      <c r="E276">
        <f>-7.163044</f>
        <v>-7.1630440000000002</v>
      </c>
      <c r="F276">
        <f t="shared" si="21"/>
        <v>-6.2898272788739329E-2</v>
      </c>
      <c r="G276">
        <v>32.689399999999999</v>
      </c>
      <c r="H276">
        <f>-1.449403</f>
        <v>-1.449403</v>
      </c>
      <c r="I276">
        <f t="shared" si="22"/>
        <v>-4.4338623529339788E-2</v>
      </c>
      <c r="J276">
        <v>122.9409</v>
      </c>
      <c r="K276">
        <f>-10.69089</f>
        <v>-10.69089</v>
      </c>
      <c r="L276">
        <f t="shared" si="24"/>
        <v>-8.695958789955173E-2</v>
      </c>
      <c r="M276">
        <v>71.736530000000002</v>
      </c>
      <c r="N276">
        <f>-3.636537</f>
        <v>-3.6365370000000001</v>
      </c>
      <c r="O276">
        <f t="shared" si="23"/>
        <v>-5.0692959361151146E-2</v>
      </c>
    </row>
    <row r="277" spans="1:15" x14ac:dyDescent="0.25">
      <c r="A277">
        <v>3479.5790000000002</v>
      </c>
      <c r="B277">
        <f>-35.67917</f>
        <v>-35.679169999999999</v>
      </c>
      <c r="C277">
        <f t="shared" si="20"/>
        <v>-1.025387554069041E-2</v>
      </c>
      <c r="D277">
        <v>107.3434</v>
      </c>
      <c r="E277">
        <f>-1.93342</f>
        <v>-1.9334199999999999</v>
      </c>
      <c r="F277">
        <f t="shared" si="21"/>
        <v>-1.8011540532533905E-2</v>
      </c>
      <c r="G277">
        <v>31.412939999999999</v>
      </c>
      <c r="H277">
        <v>-0.34293940000000001</v>
      </c>
      <c r="I277">
        <f t="shared" si="22"/>
        <v>-1.0917137969257256E-2</v>
      </c>
      <c r="J277">
        <v>112.1596</v>
      </c>
      <c r="K277">
        <f>-1.199582</f>
        <v>-1.1995819999999999</v>
      </c>
      <c r="L277">
        <f t="shared" si="24"/>
        <v>-1.069531275075874E-2</v>
      </c>
      <c r="M277">
        <v>68.285910000000001</v>
      </c>
      <c r="N277">
        <v>-0.1259091</v>
      </c>
      <c r="O277">
        <f t="shared" si="23"/>
        <v>-1.843851828290785E-3</v>
      </c>
    </row>
    <row r="278" spans="1:15" x14ac:dyDescent="0.25">
      <c r="A278">
        <v>3454.5839999999998</v>
      </c>
      <c r="B278">
        <v>30.825659999999999</v>
      </c>
      <c r="C278">
        <f t="shared" si="20"/>
        <v>8.9231178052118585E-3</v>
      </c>
      <c r="D278">
        <v>106.02079999999999</v>
      </c>
      <c r="E278">
        <v>2.8791570000000002</v>
      </c>
      <c r="F278">
        <f t="shared" si="21"/>
        <v>2.7156529662104044E-2</v>
      </c>
      <c r="G278">
        <v>31.243410000000001</v>
      </c>
      <c r="H278">
        <v>0.64659089999999997</v>
      </c>
      <c r="I278">
        <f t="shared" si="22"/>
        <v>2.069527301917428E-2</v>
      </c>
      <c r="J278">
        <v>110.8706</v>
      </c>
      <c r="K278">
        <v>7.2893790000000003</v>
      </c>
      <c r="L278">
        <f t="shared" si="24"/>
        <v>6.5746726363887273E-2</v>
      </c>
      <c r="M278">
        <v>68.336460000000002</v>
      </c>
      <c r="N278">
        <v>0.93354360000000003</v>
      </c>
      <c r="O278">
        <f t="shared" si="23"/>
        <v>1.366098858501011E-2</v>
      </c>
    </row>
    <row r="279" spans="1:15" x14ac:dyDescent="0.25">
      <c r="A279">
        <v>3496.6770000000001</v>
      </c>
      <c r="B279">
        <f>-36.12754</f>
        <v>-36.127540000000003</v>
      </c>
      <c r="C279">
        <f t="shared" si="20"/>
        <v>-1.0331963747294932E-2</v>
      </c>
      <c r="D279">
        <v>109.482</v>
      </c>
      <c r="E279">
        <f>-2.331954</f>
        <v>-2.3319540000000001</v>
      </c>
      <c r="F279">
        <f t="shared" si="21"/>
        <v>-2.1299884912588371E-2</v>
      </c>
      <c r="G279">
        <v>32.061140000000002</v>
      </c>
      <c r="H279">
        <v>-0.34114349999999999</v>
      </c>
      <c r="I279">
        <f t="shared" si="22"/>
        <v>-1.0640404552052733E-2</v>
      </c>
      <c r="J279">
        <v>118.06480000000001</v>
      </c>
      <c r="K279">
        <f>-3.264822</f>
        <v>-3.2648220000000001</v>
      </c>
      <c r="L279">
        <f t="shared" si="24"/>
        <v>-2.7652797446825812E-2</v>
      </c>
      <c r="M279">
        <v>69.458600000000004</v>
      </c>
      <c r="N279">
        <f>-1.108602</f>
        <v>-1.1086020000000001</v>
      </c>
      <c r="O279">
        <f t="shared" si="23"/>
        <v>-1.5960615388159276E-2</v>
      </c>
    </row>
    <row r="280" spans="1:15" x14ac:dyDescent="0.25">
      <c r="A280">
        <v>3471.1979999999999</v>
      </c>
      <c r="B280">
        <v>13.43174</v>
      </c>
      <c r="C280">
        <f t="shared" si="20"/>
        <v>3.8694825244771401E-3</v>
      </c>
      <c r="D280">
        <v>107.741</v>
      </c>
      <c r="E280">
        <v>-0.27100540000000001</v>
      </c>
      <c r="F280">
        <f t="shared" si="21"/>
        <v>-2.5153414206291014E-3</v>
      </c>
      <c r="G280">
        <v>31.89161</v>
      </c>
      <c r="H280">
        <v>0.92838679999999996</v>
      </c>
      <c r="I280">
        <f t="shared" si="22"/>
        <v>2.9110690868225216E-2</v>
      </c>
      <c r="J280">
        <v>114.7075</v>
      </c>
      <c r="K280">
        <v>1.8424720000000001</v>
      </c>
      <c r="L280">
        <f t="shared" si="24"/>
        <v>1.606234988993745E-2</v>
      </c>
      <c r="M280">
        <v>68.574539999999999</v>
      </c>
      <c r="N280">
        <f>-1.184536</f>
        <v>-1.184536</v>
      </c>
      <c r="O280">
        <f t="shared" si="23"/>
        <v>-1.7273699539216741E-2</v>
      </c>
    </row>
    <row r="281" spans="1:15" x14ac:dyDescent="0.25">
      <c r="A281">
        <v>3495.9879999999998</v>
      </c>
      <c r="B281">
        <v>20.15192</v>
      </c>
      <c r="C281">
        <f t="shared" si="20"/>
        <v>5.7642989621245842E-3</v>
      </c>
      <c r="D281">
        <v>108.0582</v>
      </c>
      <c r="E281">
        <v>2.4318460000000002</v>
      </c>
      <c r="F281">
        <f t="shared" si="21"/>
        <v>2.2504964917053959E-2</v>
      </c>
      <c r="G281">
        <v>32.988570000000003</v>
      </c>
      <c r="H281">
        <v>1.4414260000000001</v>
      </c>
      <c r="I281">
        <f t="shared" si="22"/>
        <v>4.369471001622683E-2</v>
      </c>
      <c r="J281">
        <v>116.45610000000001</v>
      </c>
      <c r="K281">
        <v>5.3338809999999999</v>
      </c>
      <c r="L281">
        <f t="shared" si="24"/>
        <v>4.5801645426903355E-2</v>
      </c>
      <c r="M281">
        <v>67.661609999999996</v>
      </c>
      <c r="N281">
        <v>0.32838640000000002</v>
      </c>
      <c r="O281">
        <f t="shared" si="23"/>
        <v>4.8533636725463679E-3</v>
      </c>
    </row>
    <row r="282" spans="1:15" x14ac:dyDescent="0.25">
      <c r="A282">
        <v>3529.63</v>
      </c>
      <c r="B282">
        <f>-62.42028</f>
        <v>-62.420279999999998</v>
      </c>
      <c r="C282">
        <f t="shared" si="20"/>
        <v>-1.7684652498987145E-2</v>
      </c>
      <c r="D282">
        <v>111.0215</v>
      </c>
      <c r="E282">
        <f>-3.391539</f>
        <v>-3.3915389999999999</v>
      </c>
      <c r="F282">
        <f t="shared" si="21"/>
        <v>-3.0548488355858997E-2</v>
      </c>
      <c r="G282">
        <v>34.594119999999997</v>
      </c>
      <c r="H282">
        <f>-1.134125</f>
        <v>-1.134125</v>
      </c>
      <c r="I282">
        <f t="shared" si="22"/>
        <v>-3.2783750533327632E-2</v>
      </c>
      <c r="J282">
        <v>121.6919</v>
      </c>
      <c r="K282">
        <f>-2.391898</f>
        <v>-2.3918979999999999</v>
      </c>
      <c r="L282">
        <f t="shared" si="24"/>
        <v>-1.9655359148801191E-2</v>
      </c>
      <c r="M282">
        <v>68.271060000000006</v>
      </c>
      <c r="N282">
        <f>-1.241061</f>
        <v>-1.241061</v>
      </c>
      <c r="O282">
        <f t="shared" si="23"/>
        <v>-1.8178434610506999E-2</v>
      </c>
    </row>
    <row r="283" spans="1:15" x14ac:dyDescent="0.25">
      <c r="A283">
        <v>3483.9670000000001</v>
      </c>
      <c r="B283">
        <f>-29.01671</f>
        <v>-29.01671</v>
      </c>
      <c r="C283">
        <f t="shared" si="20"/>
        <v>-8.328640885519295E-3</v>
      </c>
      <c r="D283">
        <v>108.2028</v>
      </c>
      <c r="E283">
        <v>-0.57282920000000004</v>
      </c>
      <c r="F283">
        <f t="shared" si="21"/>
        <v>-5.2940330564458593E-3</v>
      </c>
      <c r="G283">
        <v>33.626800000000003</v>
      </c>
      <c r="H283">
        <v>0.38319439999999999</v>
      </c>
      <c r="I283">
        <f t="shared" si="22"/>
        <v>1.1395505965479913E-2</v>
      </c>
      <c r="J283">
        <v>119.2039</v>
      </c>
      <c r="K283">
        <v>-0.17390349999999999</v>
      </c>
      <c r="L283">
        <f t="shared" si="24"/>
        <v>-1.4588742482418778E-3</v>
      </c>
      <c r="M283">
        <v>67.272900000000007</v>
      </c>
      <c r="N283">
        <v>-0.42289460000000001</v>
      </c>
      <c r="O283">
        <f t="shared" si="23"/>
        <v>-6.2862549406967737E-3</v>
      </c>
    </row>
    <row r="284" spans="1:15" x14ac:dyDescent="0.25">
      <c r="A284">
        <v>3472.3490000000002</v>
      </c>
      <c r="B284">
        <f>-3.25865</f>
        <v>-3.2586499999999998</v>
      </c>
      <c r="C284">
        <f t="shared" si="20"/>
        <v>-9.3845693506038703E-4</v>
      </c>
      <c r="D284">
        <v>108.16370000000001</v>
      </c>
      <c r="E284">
        <v>-0.59374300000000002</v>
      </c>
      <c r="F284">
        <f t="shared" si="21"/>
        <v>-5.4893000146999408E-3</v>
      </c>
      <c r="G284">
        <v>34.175289999999997</v>
      </c>
      <c r="H284">
        <v>0.17471410000000001</v>
      </c>
      <c r="I284">
        <f t="shared" si="22"/>
        <v>5.1122931217262536E-3</v>
      </c>
      <c r="J284">
        <v>118.9341</v>
      </c>
      <c r="K284">
        <v>-0.954121</v>
      </c>
      <c r="L284">
        <f t="shared" si="24"/>
        <v>-8.0222661120738295E-3</v>
      </c>
      <c r="M284">
        <v>67.107299999999995</v>
      </c>
      <c r="N284" s="10">
        <v>1.2326999999999999</v>
      </c>
      <c r="O284">
        <f t="shared" si="23"/>
        <v>1.8369089502930383E-2</v>
      </c>
    </row>
    <row r="285" spans="1:15" x14ac:dyDescent="0.25">
      <c r="A285">
        <v>3485.18</v>
      </c>
      <c r="B285">
        <f>-70.24992</f>
        <v>-70.249920000000003</v>
      </c>
      <c r="C285">
        <f t="shared" si="20"/>
        <v>-2.0156755174768594E-2</v>
      </c>
      <c r="D285">
        <v>108.0248</v>
      </c>
      <c r="E285">
        <f>-3.184823</f>
        <v>-3.1848230000000002</v>
      </c>
      <c r="F285">
        <f t="shared" si="21"/>
        <v>-2.9482331834911984E-2</v>
      </c>
      <c r="G285">
        <v>34.51435</v>
      </c>
      <c r="H285">
        <f>-1.604347</f>
        <v>-1.604347</v>
      </c>
      <c r="I285">
        <f t="shared" si="22"/>
        <v>-4.6483477162397667E-2</v>
      </c>
      <c r="J285">
        <v>117.88500000000001</v>
      </c>
      <c r="K285">
        <f>-2.704967</f>
        <v>-2.7049669999999999</v>
      </c>
      <c r="L285">
        <f t="shared" si="24"/>
        <v>-2.2945811596046993E-2</v>
      </c>
      <c r="M285">
        <v>68.641959999999997</v>
      </c>
      <c r="N285">
        <f>-2.891958</f>
        <v>-2.8919579999999998</v>
      </c>
      <c r="O285">
        <f t="shared" si="23"/>
        <v>-4.2131052201889341E-2</v>
      </c>
    </row>
    <row r="286" spans="1:15" x14ac:dyDescent="0.25">
      <c r="A286">
        <v>3430.0349999999999</v>
      </c>
      <c r="B286">
        <f>-28.65517</f>
        <v>-28.655169999999998</v>
      </c>
      <c r="C286">
        <f t="shared" si="20"/>
        <v>-8.3541917210757325E-3</v>
      </c>
      <c r="D286">
        <v>105.3167</v>
      </c>
      <c r="E286">
        <v>-0.66671230000000004</v>
      </c>
      <c r="F286">
        <f t="shared" si="21"/>
        <v>-6.3305468173613499E-3</v>
      </c>
      <c r="G286">
        <v>33.078319999999998</v>
      </c>
      <c r="H286">
        <v>0.16167480000000001</v>
      </c>
      <c r="I286">
        <f t="shared" si="22"/>
        <v>4.8876363733103738E-3</v>
      </c>
      <c r="J286">
        <v>115.0872</v>
      </c>
      <c r="K286">
        <v>0.6927778</v>
      </c>
      <c r="L286">
        <f t="shared" si="24"/>
        <v>6.0195903627857832E-3</v>
      </c>
      <c r="M286">
        <v>65.994759999999999</v>
      </c>
      <c r="N286">
        <v>1.265242</v>
      </c>
      <c r="O286">
        <f t="shared" si="23"/>
        <v>1.9171855462463989E-2</v>
      </c>
    </row>
    <row r="287" spans="1:15" x14ac:dyDescent="0.25">
      <c r="A287">
        <v>3414.884</v>
      </c>
      <c r="B287">
        <v>256.70600000000002</v>
      </c>
      <c r="C287">
        <f t="shared" si="20"/>
        <v>7.5172685221518515E-2</v>
      </c>
      <c r="D287">
        <v>105.1717</v>
      </c>
      <c r="E287">
        <v>14.03829</v>
      </c>
      <c r="F287">
        <f t="shared" si="21"/>
        <v>0.13347972886242213</v>
      </c>
      <c r="G287">
        <v>33.407409999999999</v>
      </c>
      <c r="H287">
        <v>9.6125869999999995</v>
      </c>
      <c r="I287">
        <f t="shared" si="22"/>
        <v>0.28773816946599573</v>
      </c>
      <c r="J287">
        <v>115.6867</v>
      </c>
      <c r="K287">
        <v>14.243259999999999</v>
      </c>
      <c r="L287">
        <f t="shared" si="24"/>
        <v>0.12311925225630949</v>
      </c>
      <c r="M287">
        <v>67.549769999999995</v>
      </c>
      <c r="N287">
        <v>6.3102309999999999</v>
      </c>
      <c r="O287">
        <f t="shared" si="23"/>
        <v>9.3416024954637161E-2</v>
      </c>
    </row>
    <row r="288" spans="1:15" x14ac:dyDescent="0.25">
      <c r="A288">
        <v>3694.1439999999998</v>
      </c>
      <c r="B288">
        <f>-20.94384</f>
        <v>-20.943840000000002</v>
      </c>
      <c r="C288">
        <f t="shared" si="20"/>
        <v>-5.6694703833959914E-3</v>
      </c>
      <c r="D288">
        <v>119.5089</v>
      </c>
      <c r="E288">
        <v>-9.8912200000000006E-2</v>
      </c>
      <c r="F288">
        <f t="shared" si="21"/>
        <v>-8.2765551352242397E-4</v>
      </c>
      <c r="G288">
        <v>43.16039</v>
      </c>
      <c r="H288">
        <v>1.5996090000000001</v>
      </c>
      <c r="I288">
        <f t="shared" si="22"/>
        <v>3.7061968161084737E-2</v>
      </c>
      <c r="J288">
        <v>129.8253</v>
      </c>
      <c r="K288">
        <f>-1.195341</f>
        <v>-1.195341</v>
      </c>
      <c r="L288">
        <f t="shared" si="24"/>
        <v>-9.2073039692571485E-3</v>
      </c>
      <c r="M288">
        <v>74.269750000000002</v>
      </c>
      <c r="N288">
        <v>-2.9749299999999999E-2</v>
      </c>
      <c r="O288">
        <f t="shared" si="23"/>
        <v>-4.0055742748561831E-4</v>
      </c>
    </row>
    <row r="289" spans="1:15" x14ac:dyDescent="0.25">
      <c r="A289">
        <v>3698.0039999999999</v>
      </c>
      <c r="B289">
        <f>-2.393947</f>
        <v>-2.3939469999999998</v>
      </c>
      <c r="C289">
        <f t="shared" si="20"/>
        <v>-6.473619282185741E-4</v>
      </c>
      <c r="D289">
        <v>119.71</v>
      </c>
      <c r="E289">
        <v>5.1599719999999998</v>
      </c>
      <c r="F289">
        <f t="shared" si="21"/>
        <v>4.3103934508395288E-2</v>
      </c>
      <c r="G289">
        <v>44.895580000000002</v>
      </c>
      <c r="H289">
        <v>1.984416</v>
      </c>
      <c r="I289">
        <f t="shared" si="22"/>
        <v>4.4200698598837566E-2</v>
      </c>
      <c r="J289">
        <v>128.5264</v>
      </c>
      <c r="K289">
        <v>-0.83638820000000003</v>
      </c>
      <c r="L289">
        <f t="shared" si="24"/>
        <v>-6.5075206338931152E-3</v>
      </c>
      <c r="M289">
        <v>74.627979999999994</v>
      </c>
      <c r="N289">
        <v>0.89201940000000002</v>
      </c>
      <c r="O289">
        <f t="shared" si="23"/>
        <v>1.1952881479573749E-2</v>
      </c>
    </row>
    <row r="290" spans="1:15" x14ac:dyDescent="0.25">
      <c r="A290">
        <v>3721.83</v>
      </c>
      <c r="B290">
        <f>-79.07952</f>
        <v>-79.079520000000002</v>
      </c>
      <c r="C290">
        <f t="shared" si="20"/>
        <v>-2.1247483092994575E-2</v>
      </c>
      <c r="D290">
        <v>125.1311</v>
      </c>
      <c r="E290">
        <f>-3.951105</f>
        <v>-3.9511050000000001</v>
      </c>
      <c r="F290">
        <f t="shared" si="21"/>
        <v>-3.1575723381317672E-2</v>
      </c>
      <c r="G290">
        <v>47.009729999999998</v>
      </c>
      <c r="H290">
        <f>-3.839726</f>
        <v>-3.8397260000000002</v>
      </c>
      <c r="I290">
        <f t="shared" si="22"/>
        <v>-8.1679388501061378E-2</v>
      </c>
      <c r="J290">
        <v>127.58710000000001</v>
      </c>
      <c r="K290">
        <f>-5.067145</f>
        <v>-5.067145</v>
      </c>
      <c r="L290">
        <f t="shared" si="24"/>
        <v>-3.9715182804531179E-2</v>
      </c>
      <c r="M290">
        <v>75.980090000000004</v>
      </c>
      <c r="N290">
        <v>4.2299150000000001</v>
      </c>
      <c r="O290">
        <f t="shared" si="23"/>
        <v>5.5671360747269451E-2</v>
      </c>
    </row>
    <row r="291" spans="1:15" x14ac:dyDescent="0.25">
      <c r="A291">
        <v>3666.2910000000002</v>
      </c>
      <c r="B291">
        <f>-12.69129</f>
        <v>-12.69129</v>
      </c>
      <c r="C291">
        <f t="shared" si="20"/>
        <v>-3.4616155673403994E-3</v>
      </c>
      <c r="D291">
        <v>121.4575</v>
      </c>
      <c r="E291">
        <v>1.082532</v>
      </c>
      <c r="F291">
        <f t="shared" si="21"/>
        <v>8.9128460572628285E-3</v>
      </c>
      <c r="G291">
        <v>43.309980000000003</v>
      </c>
      <c r="H291">
        <v>0.52002320000000002</v>
      </c>
      <c r="I291">
        <f t="shared" si="22"/>
        <v>1.2007006237361458E-2</v>
      </c>
      <c r="J291">
        <v>122.4213</v>
      </c>
      <c r="K291">
        <v>0.95869020000000005</v>
      </c>
      <c r="L291">
        <f t="shared" si="24"/>
        <v>7.8310735141678776E-3</v>
      </c>
      <c r="M291">
        <v>80.724040000000002</v>
      </c>
      <c r="N291">
        <v>1.995962</v>
      </c>
      <c r="O291">
        <f t="shared" si="23"/>
        <v>2.4725744648062709E-2</v>
      </c>
    </row>
    <row r="292" spans="1:15" x14ac:dyDescent="0.25">
      <c r="A292">
        <v>3679.9830000000002</v>
      </c>
      <c r="B292">
        <f>-48.81289</f>
        <v>-48.812890000000003</v>
      </c>
      <c r="C292">
        <f t="shared" si="20"/>
        <v>-1.3264433558524592E-2</v>
      </c>
      <c r="D292">
        <v>122.79859999999999</v>
      </c>
      <c r="E292">
        <v>-0.37864219999999998</v>
      </c>
      <c r="F292">
        <f t="shared" si="21"/>
        <v>-3.0834406906919136E-3</v>
      </c>
      <c r="G292">
        <v>43.968150000000001</v>
      </c>
      <c r="H292">
        <f>-2.088153</f>
        <v>-2.0881530000000001</v>
      </c>
      <c r="I292">
        <f t="shared" si="22"/>
        <v>-4.7492400749178668E-2</v>
      </c>
      <c r="J292">
        <v>123.28060000000001</v>
      </c>
      <c r="K292">
        <v>-0.16061710000000001</v>
      </c>
      <c r="L292">
        <f t="shared" si="24"/>
        <v>-1.3028578705814216E-3</v>
      </c>
      <c r="M292">
        <v>83.152209999999997</v>
      </c>
      <c r="N292">
        <f>-2.572212</f>
        <v>-2.5722119999999999</v>
      </c>
      <c r="O292">
        <f t="shared" si="23"/>
        <v>-3.0933777947693752E-2</v>
      </c>
    </row>
    <row r="293" spans="1:15" x14ac:dyDescent="0.25">
      <c r="A293">
        <v>3657.2910000000002</v>
      </c>
      <c r="B293">
        <f>-39.92058</f>
        <v>-39.920580000000001</v>
      </c>
      <c r="C293">
        <f t="shared" si="20"/>
        <v>-1.091534143714569E-2</v>
      </c>
      <c r="D293">
        <v>122.67959999999999</v>
      </c>
      <c r="E293">
        <f>-1.229575</f>
        <v>-1.2295750000000001</v>
      </c>
      <c r="F293">
        <f t="shared" si="21"/>
        <v>-1.0022652502942625E-2</v>
      </c>
      <c r="G293">
        <v>42.023539999999997</v>
      </c>
      <c r="H293">
        <v>-0.38354100000000002</v>
      </c>
      <c r="I293">
        <f t="shared" si="22"/>
        <v>-9.1268132099294828E-3</v>
      </c>
      <c r="J293">
        <v>123.02079999999999</v>
      </c>
      <c r="K293">
        <v>-0.84082650000000003</v>
      </c>
      <c r="L293">
        <f t="shared" si="24"/>
        <v>-6.8348319958901269E-3</v>
      </c>
      <c r="M293">
        <v>80.967160000000007</v>
      </c>
      <c r="N293">
        <f>-2.387162</f>
        <v>-2.387162</v>
      </c>
      <c r="O293">
        <f t="shared" si="23"/>
        <v>-2.9483089193198822E-2</v>
      </c>
    </row>
    <row r="294" spans="1:15" x14ac:dyDescent="0.25">
      <c r="A294">
        <v>3630.875</v>
      </c>
      <c r="B294">
        <f>-15.60461</f>
        <v>-15.604609999999999</v>
      </c>
      <c r="C294">
        <f t="shared" si="20"/>
        <v>-4.2977546734602537E-3</v>
      </c>
      <c r="D294">
        <v>121.68989999999999</v>
      </c>
      <c r="E294">
        <v>0.71013579999999998</v>
      </c>
      <c r="F294">
        <f t="shared" si="21"/>
        <v>5.8356182394759138E-3</v>
      </c>
      <c r="G294">
        <v>41.784199999999998</v>
      </c>
      <c r="H294">
        <v>0.97579590000000005</v>
      </c>
      <c r="I294">
        <f t="shared" si="22"/>
        <v>2.3353226817792373E-2</v>
      </c>
      <c r="J294">
        <v>122.08159999999999</v>
      </c>
      <c r="K294">
        <v>-7.15837E-2</v>
      </c>
      <c r="L294">
        <f t="shared" si="24"/>
        <v>-5.8635945138333712E-4</v>
      </c>
      <c r="M294">
        <v>78.907380000000003</v>
      </c>
      <c r="N294">
        <v>0.21261769999999999</v>
      </c>
      <c r="O294">
        <f t="shared" si="23"/>
        <v>2.6945223628005387E-3</v>
      </c>
    </row>
    <row r="295" spans="1:15" x14ac:dyDescent="0.25">
      <c r="A295">
        <v>3628.6210000000001</v>
      </c>
      <c r="B295">
        <v>4.7386600000000003</v>
      </c>
      <c r="C295">
        <f t="shared" si="20"/>
        <v>1.3059120806499219E-3</v>
      </c>
      <c r="D295">
        <v>122.62439999999999</v>
      </c>
      <c r="E295">
        <v>0.5555928</v>
      </c>
      <c r="F295">
        <f t="shared" si="21"/>
        <v>4.5308503038546978E-3</v>
      </c>
      <c r="G295">
        <v>42.901110000000003</v>
      </c>
      <c r="H295">
        <v>0.49889040000000001</v>
      </c>
      <c r="I295">
        <f t="shared" si="22"/>
        <v>1.1628845966922534E-2</v>
      </c>
      <c r="J295">
        <v>121.9117</v>
      </c>
      <c r="K295">
        <v>0.31827939999999999</v>
      </c>
      <c r="L295">
        <f t="shared" si="24"/>
        <v>2.6107371154696392E-3</v>
      </c>
      <c r="M295">
        <v>79.367279999999994</v>
      </c>
      <c r="N295">
        <v>0.30272310000000002</v>
      </c>
      <c r="O295">
        <f t="shared" si="23"/>
        <v>3.8142052997154501E-3</v>
      </c>
    </row>
    <row r="296" spans="1:15" x14ac:dyDescent="0.25">
      <c r="A296">
        <v>3646.4090000000001</v>
      </c>
      <c r="B296">
        <v>24.96048</v>
      </c>
      <c r="C296">
        <f t="shared" si="20"/>
        <v>6.8452222446796288E-3</v>
      </c>
      <c r="D296">
        <v>123.57040000000001</v>
      </c>
      <c r="E296">
        <v>9.4596520000000002</v>
      </c>
      <c r="F296">
        <f t="shared" si="21"/>
        <v>7.6552734311776921E-2</v>
      </c>
      <c r="G296">
        <v>43.539340000000003</v>
      </c>
      <c r="H296">
        <v>0.34065869999999998</v>
      </c>
      <c r="I296">
        <f t="shared" si="22"/>
        <v>7.8241585655639233E-3</v>
      </c>
      <c r="J296">
        <v>122.1315</v>
      </c>
      <c r="K296">
        <v>2.838457</v>
      </c>
      <c r="L296">
        <f t="shared" si="24"/>
        <v>2.3240990244122114E-2</v>
      </c>
      <c r="M296">
        <v>79.879009999999994</v>
      </c>
      <c r="N296">
        <v>-0.13901469999999999</v>
      </c>
      <c r="O296">
        <f t="shared" si="23"/>
        <v>-1.740315760047602E-3</v>
      </c>
    </row>
    <row r="297" spans="1:15" x14ac:dyDescent="0.25">
      <c r="A297">
        <v>3688.2539999999999</v>
      </c>
      <c r="B297">
        <v>223.4058</v>
      </c>
      <c r="C297">
        <f t="shared" si="20"/>
        <v>6.0572238246064398E-2</v>
      </c>
      <c r="D297">
        <v>133.28639999999999</v>
      </c>
      <c r="E297">
        <v>13.113580000000001</v>
      </c>
      <c r="F297">
        <f t="shared" si="21"/>
        <v>9.8386482041678686E-2</v>
      </c>
      <c r="G297">
        <v>44.01802</v>
      </c>
      <c r="H297">
        <v>4.1219849999999996</v>
      </c>
      <c r="I297">
        <f t="shared" si="22"/>
        <v>9.3643126156060616E-2</v>
      </c>
      <c r="J297">
        <v>124.8693</v>
      </c>
      <c r="K297">
        <v>19.440660000000001</v>
      </c>
      <c r="L297">
        <f t="shared" si="24"/>
        <v>0.15568806744331876</v>
      </c>
      <c r="M297">
        <v>79.991150000000005</v>
      </c>
      <c r="N297">
        <v>6.648847</v>
      </c>
      <c r="O297">
        <f t="shared" si="23"/>
        <v>8.3119782625952987E-2</v>
      </c>
    </row>
    <row r="298" spans="1:15" x14ac:dyDescent="0.25">
      <c r="A298">
        <v>3937.36</v>
      </c>
      <c r="B298">
        <v>9.3202649999999991</v>
      </c>
      <c r="C298">
        <f t="shared" si="20"/>
        <v>2.3671355933925268E-3</v>
      </c>
      <c r="D298">
        <v>146.5376</v>
      </c>
      <c r="E298">
        <f>-1.367622</f>
        <v>-1.3676219999999999</v>
      </c>
      <c r="F298">
        <f t="shared" si="21"/>
        <v>-9.3329084139497295E-3</v>
      </c>
      <c r="G298">
        <v>48.266240000000003</v>
      </c>
      <c r="H298">
        <v>-0.44624459999999999</v>
      </c>
      <c r="I298">
        <f t="shared" si="22"/>
        <v>-9.2454808992786675E-3</v>
      </c>
      <c r="J298">
        <v>144.19380000000001</v>
      </c>
      <c r="K298">
        <f>-1.223758</f>
        <v>-1.2237579999999999</v>
      </c>
      <c r="L298">
        <f t="shared" si="24"/>
        <v>-8.4868974948992242E-3</v>
      </c>
      <c r="M298">
        <v>87.051220000000001</v>
      </c>
      <c r="N298">
        <v>1.168784</v>
      </c>
      <c r="O298">
        <f t="shared" si="23"/>
        <v>1.3426394253865713E-2</v>
      </c>
    </row>
    <row r="299" spans="1:15" x14ac:dyDescent="0.25">
      <c r="A299">
        <v>3974.7379999999998</v>
      </c>
      <c r="B299">
        <v>25.521879999999999</v>
      </c>
      <c r="C299">
        <f t="shared" si="20"/>
        <v>6.4210219642150002E-3</v>
      </c>
      <c r="D299">
        <v>145.2799</v>
      </c>
      <c r="E299">
        <v>4.0701429999999998</v>
      </c>
      <c r="F299">
        <f t="shared" si="21"/>
        <v>2.8015871431629563E-2</v>
      </c>
      <c r="G299">
        <v>47.947130000000001</v>
      </c>
      <c r="H299">
        <v>3.892871</v>
      </c>
      <c r="I299">
        <f t="shared" si="22"/>
        <v>8.1190907568398779E-2</v>
      </c>
      <c r="J299">
        <v>142.85480000000001</v>
      </c>
      <c r="K299">
        <v>5.0651630000000001</v>
      </c>
      <c r="L299">
        <f t="shared" si="24"/>
        <v>3.5456722490248838E-2</v>
      </c>
      <c r="M299">
        <v>88.648799999999994</v>
      </c>
      <c r="N299">
        <v>-0.6787938</v>
      </c>
      <c r="O299">
        <f t="shared" si="23"/>
        <v>-7.6571121098085934E-3</v>
      </c>
    </row>
    <row r="300" spans="1:15" x14ac:dyDescent="0.25">
      <c r="A300">
        <v>4031.009</v>
      </c>
      <c r="B300">
        <f>-78.59901</f>
        <v>-78.599010000000007</v>
      </c>
      <c r="C300">
        <f t="shared" si="20"/>
        <v>-1.9498594520627466E-2</v>
      </c>
      <c r="D300">
        <v>149.41849999999999</v>
      </c>
      <c r="E300">
        <f>-3.348503</f>
        <v>-3.348503</v>
      </c>
      <c r="F300">
        <f t="shared" si="21"/>
        <v>-2.2410230326231358E-2</v>
      </c>
      <c r="G300">
        <v>51.956020000000002</v>
      </c>
      <c r="H300">
        <f>-2.826021</f>
        <v>-2.8260209999999999</v>
      </c>
      <c r="I300">
        <f t="shared" si="22"/>
        <v>-5.4392561246993126E-2</v>
      </c>
      <c r="J300">
        <v>147.80090000000001</v>
      </c>
      <c r="K300">
        <f>-4.98085</f>
        <v>-4.9808500000000002</v>
      </c>
      <c r="L300">
        <f t="shared" si="24"/>
        <v>-3.3699727132920028E-2</v>
      </c>
      <c r="M300">
        <v>88.383870000000002</v>
      </c>
      <c r="N300">
        <f>-2.783867</f>
        <v>-2.7838669999999999</v>
      </c>
      <c r="O300">
        <f t="shared" si="23"/>
        <v>-3.1497455361481679E-2</v>
      </c>
    </row>
    <row r="301" spans="1:15" x14ac:dyDescent="0.25">
      <c r="A301">
        <v>3981.4009999999998</v>
      </c>
      <c r="B301">
        <v>17.519159999999999</v>
      </c>
      <c r="C301">
        <f t="shared" si="20"/>
        <v>4.4002500627291748E-3</v>
      </c>
      <c r="D301">
        <v>146.1824</v>
      </c>
      <c r="E301">
        <v>2.4975489999999998</v>
      </c>
      <c r="F301">
        <f t="shared" si="21"/>
        <v>1.7085155258088524E-2</v>
      </c>
      <c r="G301">
        <v>49.253509999999999</v>
      </c>
      <c r="H301">
        <v>0.41649079999999999</v>
      </c>
      <c r="I301">
        <f t="shared" si="22"/>
        <v>8.4560633343694694E-3</v>
      </c>
      <c r="J301">
        <v>142.70500000000001</v>
      </c>
      <c r="K301">
        <v>2.1750419999999999</v>
      </c>
      <c r="L301">
        <f t="shared" si="24"/>
        <v>1.5241526225430081E-2</v>
      </c>
      <c r="M301">
        <v>85.970680000000002</v>
      </c>
      <c r="N301">
        <v>0.69931900000000002</v>
      </c>
      <c r="O301">
        <f t="shared" si="23"/>
        <v>8.1343895383868079E-3</v>
      </c>
    </row>
    <row r="302" spans="1:15" x14ac:dyDescent="0.25">
      <c r="A302">
        <v>4028.902</v>
      </c>
      <c r="B302">
        <v>116.5578</v>
      </c>
      <c r="C302">
        <f t="shared" si="20"/>
        <v>2.893041329871017E-2</v>
      </c>
      <c r="D302">
        <v>148.74459999999999</v>
      </c>
      <c r="E302">
        <v>10.15545</v>
      </c>
      <c r="F302">
        <f t="shared" si="21"/>
        <v>6.8274411306360028E-2</v>
      </c>
      <c r="G302">
        <v>49.792020000000001</v>
      </c>
      <c r="H302">
        <v>1.887983</v>
      </c>
      <c r="I302">
        <f t="shared" si="22"/>
        <v>3.7917381138584054E-2</v>
      </c>
      <c r="J302">
        <v>144.76329999999999</v>
      </c>
      <c r="K302">
        <v>9.4367009999999993</v>
      </c>
      <c r="L302">
        <f t="shared" si="24"/>
        <v>6.5187108887404477E-2</v>
      </c>
      <c r="M302">
        <v>86.927700000000002</v>
      </c>
      <c r="N302">
        <v>3.2023060000000001</v>
      </c>
      <c r="O302">
        <f t="shared" si="23"/>
        <v>3.6838729196792278E-2</v>
      </c>
    </row>
    <row r="303" spans="1:15" x14ac:dyDescent="0.25">
      <c r="A303">
        <v>4179.415</v>
      </c>
      <c r="B303">
        <f>-372.4146</f>
        <v>-372.41460000000001</v>
      </c>
      <c r="C303">
        <f t="shared" si="20"/>
        <v>-8.9106872612554636E-2</v>
      </c>
      <c r="D303">
        <v>158.83459999999999</v>
      </c>
      <c r="E303">
        <f>-23.3346</f>
        <v>-23.334599999999998</v>
      </c>
      <c r="F303">
        <f t="shared" si="21"/>
        <v>-0.14691131529276366</v>
      </c>
      <c r="G303">
        <v>51.796460000000003</v>
      </c>
      <c r="H303">
        <f>-7.216464</f>
        <v>-7.2164640000000002</v>
      </c>
      <c r="I303">
        <f t="shared" si="22"/>
        <v>-0.13932349816956602</v>
      </c>
      <c r="J303">
        <v>154.07579999999999</v>
      </c>
      <c r="K303">
        <f>-24.05579</f>
        <v>-24.055789999999998</v>
      </c>
      <c r="L303">
        <f t="shared" si="24"/>
        <v>-0.15612958037537369</v>
      </c>
      <c r="M303">
        <v>90.418589999999995</v>
      </c>
      <c r="N303">
        <f>-8.978591</f>
        <v>-8.9785909999999998</v>
      </c>
      <c r="O303">
        <f t="shared" si="23"/>
        <v>-9.9300276635590101E-2</v>
      </c>
    </row>
    <row r="304" spans="1:15" x14ac:dyDescent="0.25">
      <c r="A304">
        <v>3817.11</v>
      </c>
      <c r="B304">
        <v>61.589790000000001</v>
      </c>
      <c r="C304">
        <f t="shared" si="20"/>
        <v>1.6135188663674874E-2</v>
      </c>
      <c r="D304">
        <v>135.768</v>
      </c>
      <c r="E304">
        <v>3.8820049999999999</v>
      </c>
      <c r="F304">
        <f t="shared" si="21"/>
        <v>2.8592930587472747E-2</v>
      </c>
      <c r="G304">
        <v>44.716079999999998</v>
      </c>
      <c r="H304">
        <v>1.463919</v>
      </c>
      <c r="I304">
        <f t="shared" si="22"/>
        <v>3.2738088848575278E-2</v>
      </c>
      <c r="J304">
        <v>129.9153</v>
      </c>
      <c r="K304">
        <v>5.9247310000000004</v>
      </c>
      <c r="L304">
        <f t="shared" si="24"/>
        <v>4.5604566975560236E-2</v>
      </c>
      <c r="M304">
        <v>81.579930000000004</v>
      </c>
      <c r="N304">
        <v>2.3900749999999999</v>
      </c>
      <c r="O304">
        <f t="shared" si="23"/>
        <v>2.9297340657193503E-2</v>
      </c>
    </row>
    <row r="305" spans="1:15" x14ac:dyDescent="0.25">
      <c r="A305">
        <v>3890.02</v>
      </c>
      <c r="B305">
        <f>-32.53958</f>
        <v>-32.539580000000001</v>
      </c>
      <c r="C305">
        <f t="shared" si="20"/>
        <v>-8.3648875841255323E-3</v>
      </c>
      <c r="D305">
        <v>139.98009999999999</v>
      </c>
      <c r="E305">
        <f>-1.950112</f>
        <v>-1.9501120000000001</v>
      </c>
      <c r="F305">
        <f t="shared" si="21"/>
        <v>-1.3931351670701765E-2</v>
      </c>
      <c r="G305">
        <v>46.311660000000003</v>
      </c>
      <c r="H305">
        <v>-0.8116601</v>
      </c>
      <c r="I305">
        <f t="shared" si="22"/>
        <v>-1.7526042037793503E-2</v>
      </c>
      <c r="J305">
        <v>135.73060000000001</v>
      </c>
      <c r="K305">
        <f>-1.400581</f>
        <v>-1.4005810000000001</v>
      </c>
      <c r="L305">
        <f t="shared" si="24"/>
        <v>-1.0318830094319187E-2</v>
      </c>
      <c r="M305">
        <v>84.1999</v>
      </c>
      <c r="N305">
        <f>-1.019896</f>
        <v>-1.0198959999999999</v>
      </c>
      <c r="O305">
        <f t="shared" si="23"/>
        <v>-1.2112793483127651E-2</v>
      </c>
    </row>
    <row r="306" spans="1:15" x14ac:dyDescent="0.25">
      <c r="A306">
        <v>3865.5830000000001</v>
      </c>
      <c r="B306">
        <f>-17.32253</f>
        <v>-17.32253</v>
      </c>
      <c r="C306">
        <f t="shared" si="20"/>
        <v>-4.4812205558644068E-3</v>
      </c>
      <c r="D306">
        <v>138.54480000000001</v>
      </c>
      <c r="E306">
        <f>-2.26483</f>
        <v>-2.2648299999999999</v>
      </c>
      <c r="F306">
        <f t="shared" si="21"/>
        <v>-1.634727539395199E-2</v>
      </c>
      <c r="G306">
        <v>45.633540000000004</v>
      </c>
      <c r="H306">
        <v>-1.3539000000000001E-2</v>
      </c>
      <c r="I306">
        <f t="shared" si="22"/>
        <v>-2.966896716757017E-4</v>
      </c>
      <c r="J306">
        <v>134.2218</v>
      </c>
      <c r="K306">
        <f>-1.321797</f>
        <v>-1.3217970000000001</v>
      </c>
      <c r="L306">
        <f t="shared" si="24"/>
        <v>-9.8478563094817687E-3</v>
      </c>
      <c r="M306">
        <v>83.375500000000002</v>
      </c>
      <c r="N306">
        <v>-0.91549590000000003</v>
      </c>
      <c r="O306">
        <f t="shared" si="23"/>
        <v>-1.0980394720271543E-2</v>
      </c>
    </row>
    <row r="307" spans="1:15" x14ac:dyDescent="0.25">
      <c r="A307">
        <v>3858.145</v>
      </c>
      <c r="B307">
        <f>-4.385171</f>
        <v>-4.3851709999999997</v>
      </c>
      <c r="C307">
        <f t="shared" si="20"/>
        <v>-1.1366008794381755E-3</v>
      </c>
      <c r="D307">
        <v>136.80410000000001</v>
      </c>
      <c r="E307">
        <v>3.5875200000000003E-2</v>
      </c>
      <c r="F307">
        <f t="shared" si="21"/>
        <v>2.6223775457022121E-4</v>
      </c>
      <c r="G307">
        <v>45.753210000000003</v>
      </c>
      <c r="H307">
        <v>0.48679260000000002</v>
      </c>
      <c r="I307">
        <f t="shared" si="22"/>
        <v>1.0639528898628096E-2</v>
      </c>
      <c r="J307">
        <v>132.79300000000001</v>
      </c>
      <c r="K307">
        <v>-0.71294869999999999</v>
      </c>
      <c r="L307">
        <f t="shared" si="24"/>
        <v>-5.3688726062367746E-3</v>
      </c>
      <c r="M307">
        <v>82.576650000000001</v>
      </c>
      <c r="N307">
        <v>0.8333488</v>
      </c>
      <c r="O307">
        <f t="shared" si="23"/>
        <v>1.0091821356279286E-2</v>
      </c>
    </row>
    <row r="308" spans="1:15" x14ac:dyDescent="0.25">
      <c r="A308">
        <v>3861.779</v>
      </c>
      <c r="B308">
        <f>-6.458464</f>
        <v>-6.4584640000000002</v>
      </c>
      <c r="C308">
        <f t="shared" si="20"/>
        <v>-1.67240642201431E-3</v>
      </c>
      <c r="D308">
        <v>137.40710000000001</v>
      </c>
      <c r="E308">
        <f>-1.057112</f>
        <v>-1.0571120000000001</v>
      </c>
      <c r="F308">
        <f t="shared" si="21"/>
        <v>-7.693285135920924E-3</v>
      </c>
      <c r="G308">
        <v>46.371490000000001</v>
      </c>
      <c r="H308">
        <v>1.108506</v>
      </c>
      <c r="I308">
        <f t="shared" si="22"/>
        <v>2.3904903637989635E-2</v>
      </c>
      <c r="J308">
        <v>131.9736</v>
      </c>
      <c r="K308">
        <v>0.94639079999999998</v>
      </c>
      <c r="L308">
        <f t="shared" si="24"/>
        <v>7.1710614850242771E-3</v>
      </c>
      <c r="M308">
        <v>83.709519999999998</v>
      </c>
      <c r="N308">
        <v>-0.3895187</v>
      </c>
      <c r="O308">
        <f t="shared" si="23"/>
        <v>-4.6532186542223635E-3</v>
      </c>
    </row>
    <row r="309" spans="1:15" x14ac:dyDescent="0.25">
      <c r="A309">
        <v>3856.8470000000002</v>
      </c>
      <c r="B309">
        <v>5.4233599999999997</v>
      </c>
      <c r="C309">
        <f t="shared" si="20"/>
        <v>1.4061641542949459E-3</v>
      </c>
      <c r="D309">
        <v>136.88409999999999</v>
      </c>
      <c r="E309">
        <f>-2.094081</f>
        <v>-2.0940810000000001</v>
      </c>
      <c r="F309">
        <f t="shared" si="21"/>
        <v>-1.5298204831678772E-2</v>
      </c>
      <c r="G309">
        <v>47.608069999999998</v>
      </c>
      <c r="H309">
        <v>1.411932</v>
      </c>
      <c r="I309">
        <f t="shared" si="22"/>
        <v>2.9657408922478899E-2</v>
      </c>
      <c r="J309">
        <v>132.81290000000001</v>
      </c>
      <c r="K309">
        <v>-0.2429326</v>
      </c>
      <c r="L309">
        <f t="shared" si="24"/>
        <v>-1.829134067549161E-3</v>
      </c>
      <c r="M309">
        <v>83.569569999999999</v>
      </c>
      <c r="N309">
        <v>-0.35957339999999999</v>
      </c>
      <c r="O309">
        <f t="shared" si="23"/>
        <v>-4.3026833810440807E-3</v>
      </c>
    </row>
    <row r="310" spans="1:15" x14ac:dyDescent="0.25">
      <c r="A310">
        <v>3879.1990000000001</v>
      </c>
      <c r="B310">
        <f>-34.10912</f>
        <v>-34.109119999999997</v>
      </c>
      <c r="C310">
        <f t="shared" si="20"/>
        <v>-8.7928255291878539E-3</v>
      </c>
      <c r="D310">
        <v>135.37729999999999</v>
      </c>
      <c r="E310">
        <f>-3.217357</f>
        <v>-3.2173569999999998</v>
      </c>
      <c r="F310">
        <f t="shared" si="21"/>
        <v>-2.3765852916257008E-2</v>
      </c>
      <c r="G310">
        <v>49.143810000000002</v>
      </c>
      <c r="H310">
        <v>-0.81381309999999996</v>
      </c>
      <c r="I310">
        <f t="shared" si="22"/>
        <v>-1.6559829203311668E-2</v>
      </c>
      <c r="J310">
        <v>132.4632</v>
      </c>
      <c r="K310">
        <f>-1.043215</f>
        <v>-1.043215</v>
      </c>
      <c r="L310">
        <f t="shared" si="24"/>
        <v>-7.8755080656363434E-3</v>
      </c>
      <c r="M310">
        <v>83.472729999999999</v>
      </c>
      <c r="N310">
        <f>-1.15273</f>
        <v>-1.15273</v>
      </c>
      <c r="O310">
        <f t="shared" si="23"/>
        <v>-1.3809659753550651E-2</v>
      </c>
    </row>
    <row r="311" spans="1:15" x14ac:dyDescent="0.25">
      <c r="A311">
        <v>3858.1480000000001</v>
      </c>
      <c r="B311">
        <f>-98.31825</f>
        <v>-98.318250000000006</v>
      </c>
      <c r="C311">
        <f t="shared" si="20"/>
        <v>-2.5483275913728558E-2</v>
      </c>
      <c r="D311">
        <v>132.90780000000001</v>
      </c>
      <c r="E311">
        <f>-5.11782</f>
        <v>-5.11782</v>
      </c>
      <c r="F311">
        <f t="shared" si="21"/>
        <v>-3.8506543634007934E-2</v>
      </c>
      <c r="G311">
        <v>48.455719999999999</v>
      </c>
      <c r="H311">
        <f>-1.93572</f>
        <v>-1.9357200000000001</v>
      </c>
      <c r="I311">
        <f t="shared" si="22"/>
        <v>-3.9948224894811181E-2</v>
      </c>
      <c r="J311">
        <v>131.3141</v>
      </c>
      <c r="K311">
        <f>-6.354141</f>
        <v>-6.3541410000000003</v>
      </c>
      <c r="L311">
        <f t="shared" si="24"/>
        <v>-4.8388870654408021E-2</v>
      </c>
      <c r="M311">
        <v>82.580780000000004</v>
      </c>
      <c r="N311">
        <f>-2.680777</f>
        <v>-2.680777</v>
      </c>
      <c r="O311">
        <f t="shared" si="23"/>
        <v>-3.2462480979230275E-2</v>
      </c>
    </row>
    <row r="312" spans="1:15" x14ac:dyDescent="0.25">
      <c r="A312">
        <v>3770.5369999999998</v>
      </c>
      <c r="B312">
        <v>126.54300000000001</v>
      </c>
      <c r="C312">
        <f t="shared" si="20"/>
        <v>3.3561002053553647E-2</v>
      </c>
      <c r="D312">
        <v>128.3143</v>
      </c>
      <c r="E312">
        <v>9.6457300000000004</v>
      </c>
      <c r="F312">
        <f t="shared" si="21"/>
        <v>7.5172681454833953E-2</v>
      </c>
      <c r="G312">
        <v>46.65072</v>
      </c>
      <c r="H312">
        <v>6.3692789999999997</v>
      </c>
      <c r="I312">
        <f t="shared" si="22"/>
        <v>0.13653120466307914</v>
      </c>
      <c r="J312">
        <v>124.8593</v>
      </c>
      <c r="K312">
        <v>8.5506550000000008</v>
      </c>
      <c r="L312">
        <f t="shared" si="24"/>
        <v>6.8482323703560735E-2</v>
      </c>
      <c r="M312">
        <v>80.099890000000002</v>
      </c>
      <c r="N312">
        <v>3.7801119999999999</v>
      </c>
      <c r="O312">
        <f t="shared" si="23"/>
        <v>4.7192474296781181E-2</v>
      </c>
    </row>
    <row r="313" spans="1:15" x14ac:dyDescent="0.25">
      <c r="A313">
        <v>3913.5120000000002</v>
      </c>
      <c r="B313">
        <f>-10.13162</f>
        <v>-10.13162</v>
      </c>
      <c r="C313">
        <f t="shared" si="20"/>
        <v>-2.5888818023299788E-3</v>
      </c>
      <c r="D313">
        <v>138.3939</v>
      </c>
      <c r="E313">
        <v>0.54613610000000001</v>
      </c>
      <c r="F313">
        <f t="shared" si="21"/>
        <v>3.9462440179805613E-3</v>
      </c>
      <c r="G313">
        <v>53.132759999999998</v>
      </c>
      <c r="H313">
        <v>2.707239</v>
      </c>
      <c r="I313">
        <f t="shared" si="22"/>
        <v>5.0952350301395978E-2</v>
      </c>
      <c r="J313">
        <v>133.30250000000001</v>
      </c>
      <c r="K313">
        <v>-1.2537899999999999E-2</v>
      </c>
      <c r="L313">
        <f t="shared" si="24"/>
        <v>-9.4056000450104074E-5</v>
      </c>
      <c r="M313">
        <v>84.151889999999995</v>
      </c>
      <c r="N313">
        <v>-1.8851E-3</v>
      </c>
      <c r="O313">
        <f t="shared" si="23"/>
        <v>-2.2401160568110831E-5</v>
      </c>
    </row>
    <row r="314" spans="1:15" x14ac:dyDescent="0.25">
      <c r="A314">
        <v>3919.81</v>
      </c>
      <c r="B314">
        <f>-6.579549</f>
        <v>-6.5795490000000001</v>
      </c>
      <c r="C314">
        <f t="shared" si="20"/>
        <v>-1.6785377352473718E-3</v>
      </c>
      <c r="D314">
        <v>139.34059999999999</v>
      </c>
      <c r="E314">
        <f>-1.030633</f>
        <v>-1.0306329999999999</v>
      </c>
      <c r="F314">
        <f t="shared" si="21"/>
        <v>-7.3965018092357858E-3</v>
      </c>
      <c r="G314">
        <v>55.944969999999998</v>
      </c>
      <c r="H314">
        <v>1.495031</v>
      </c>
      <c r="I314">
        <f t="shared" si="22"/>
        <v>2.6723242500621594E-2</v>
      </c>
      <c r="J314">
        <v>133.18260000000001</v>
      </c>
      <c r="K314">
        <v>-0.97263460000000002</v>
      </c>
      <c r="L314">
        <f t="shared" si="24"/>
        <v>-7.3030155590895502E-3</v>
      </c>
      <c r="M314">
        <v>84.428759999999997</v>
      </c>
      <c r="N314">
        <v>-0.73875500000000005</v>
      </c>
      <c r="O314">
        <f t="shared" si="23"/>
        <v>-8.7500396784223767E-3</v>
      </c>
    </row>
    <row r="315" spans="1:15" x14ac:dyDescent="0.25">
      <c r="A315">
        <v>3929.971</v>
      </c>
      <c r="B315">
        <f>-35.42105</f>
        <v>-35.421050000000001</v>
      </c>
      <c r="C315">
        <f t="shared" si="20"/>
        <v>-9.0130563304411156E-3</v>
      </c>
      <c r="D315">
        <v>138.69810000000001</v>
      </c>
      <c r="E315">
        <f>-3.808112</f>
        <v>-3.8081119999999999</v>
      </c>
      <c r="F315">
        <f t="shared" si="21"/>
        <v>-2.7456122326116938E-2</v>
      </c>
      <c r="G315">
        <v>57.540550000000003</v>
      </c>
      <c r="H315">
        <f>-1.540549</f>
        <v>-1.5405489999999999</v>
      </c>
      <c r="I315">
        <f t="shared" si="22"/>
        <v>-2.6773275542204582E-2</v>
      </c>
      <c r="J315">
        <v>132.1035</v>
      </c>
      <c r="K315">
        <f>-2.683505</f>
        <v>-2.6835049999999998</v>
      </c>
      <c r="L315">
        <f t="shared" si="24"/>
        <v>-2.0313655580662133E-2</v>
      </c>
      <c r="M315">
        <v>83.977649999999997</v>
      </c>
      <c r="N315">
        <f>-2.417643</f>
        <v>-2.417643</v>
      </c>
      <c r="O315">
        <f t="shared" si="23"/>
        <v>-2.8789124249130573E-2</v>
      </c>
    </row>
    <row r="316" spans="1:15" x14ac:dyDescent="0.25">
      <c r="A316">
        <v>3910.2570000000001</v>
      </c>
      <c r="B316">
        <v>55.912730000000003</v>
      </c>
      <c r="C316">
        <f t="shared" si="20"/>
        <v>1.4298991089332492E-2</v>
      </c>
      <c r="D316">
        <v>135.3322</v>
      </c>
      <c r="E316">
        <v>2.8477480000000002</v>
      </c>
      <c r="F316">
        <f t="shared" si="21"/>
        <v>2.1042649125633073E-2</v>
      </c>
      <c r="G316">
        <v>56.104529999999997</v>
      </c>
      <c r="H316">
        <v>1.9954730000000001</v>
      </c>
      <c r="I316">
        <f t="shared" si="22"/>
        <v>3.5567056706472727E-2</v>
      </c>
      <c r="J316">
        <v>129.3158</v>
      </c>
      <c r="K316">
        <v>4.7242480000000002</v>
      </c>
      <c r="L316">
        <f t="shared" si="24"/>
        <v>3.6532643342886174E-2</v>
      </c>
      <c r="M316">
        <v>81.856290000000001</v>
      </c>
      <c r="N316">
        <v>2.4737140000000002</v>
      </c>
      <c r="O316">
        <f t="shared" si="23"/>
        <v>3.0220206657301477E-2</v>
      </c>
    </row>
    <row r="317" spans="1:15" x14ac:dyDescent="0.25">
      <c r="A317">
        <v>3985.4169999999999</v>
      </c>
      <c r="B317">
        <f>-31.67755</f>
        <v>-31.67755</v>
      </c>
      <c r="C317">
        <f t="shared" si="20"/>
        <v>-7.9483652526197383E-3</v>
      </c>
      <c r="D317">
        <v>138.57079999999999</v>
      </c>
      <c r="E317">
        <f>-1.720761</f>
        <v>-1.720761</v>
      </c>
      <c r="F317">
        <f t="shared" si="21"/>
        <v>-1.2417919215303658E-2</v>
      </c>
      <c r="G317">
        <v>58.198729999999998</v>
      </c>
      <c r="H317">
        <f>-1.008725</f>
        <v>-1.0087250000000001</v>
      </c>
      <c r="I317">
        <f t="shared" si="22"/>
        <v>-1.7332422889640379E-2</v>
      </c>
      <c r="J317">
        <v>133.93199999999999</v>
      </c>
      <c r="K317">
        <f>-1.07203</f>
        <v>-1.07203</v>
      </c>
      <c r="L317">
        <f t="shared" si="24"/>
        <v>-8.0042857569512897E-3</v>
      </c>
      <c r="M317">
        <v>84.599130000000002</v>
      </c>
      <c r="N317">
        <v>-0.71912770000000004</v>
      </c>
      <c r="O317">
        <f t="shared" si="23"/>
        <v>-8.5004148387814397E-3</v>
      </c>
    </row>
    <row r="318" spans="1:15" x14ac:dyDescent="0.25">
      <c r="A318">
        <v>3976.319</v>
      </c>
      <c r="B318">
        <f>-72.55864</f>
        <v>-72.558639999999997</v>
      </c>
      <c r="C318">
        <f t="shared" si="20"/>
        <v>-1.8247690892003381E-2</v>
      </c>
      <c r="D318">
        <v>137.24019999999999</v>
      </c>
      <c r="E318">
        <f>-3.230236</f>
        <v>-3.2302360000000001</v>
      </c>
      <c r="F318">
        <f t="shared" si="21"/>
        <v>-2.3537097730839802E-2</v>
      </c>
      <c r="G318">
        <v>57.291240000000002</v>
      </c>
      <c r="H318">
        <f>-1.881239</f>
        <v>-1.8812390000000001</v>
      </c>
      <c r="I318">
        <f t="shared" si="22"/>
        <v>-3.2836416178110304E-2</v>
      </c>
      <c r="J318">
        <v>132.75299999999999</v>
      </c>
      <c r="K318">
        <f>-2.402981</f>
        <v>-2.402981</v>
      </c>
      <c r="L318">
        <f t="shared" si="24"/>
        <v>-1.8101142723704926E-2</v>
      </c>
      <c r="M318">
        <v>84.136020000000002</v>
      </c>
      <c r="N318">
        <v>0.14397879999999999</v>
      </c>
      <c r="O318">
        <f t="shared" si="23"/>
        <v>1.7112623107201884E-3</v>
      </c>
    </row>
    <row r="319" spans="1:15" x14ac:dyDescent="0.25">
      <c r="A319">
        <v>3918.2669999999998</v>
      </c>
      <c r="B319">
        <f>-5.217301</f>
        <v>-5.217301</v>
      </c>
      <c r="C319">
        <f t="shared" si="20"/>
        <v>-1.3315327924309395E-3</v>
      </c>
      <c r="D319">
        <v>134.4076</v>
      </c>
      <c r="E319">
        <v>0.2023751</v>
      </c>
      <c r="F319">
        <f t="shared" si="21"/>
        <v>1.505681970364771E-3</v>
      </c>
      <c r="G319">
        <v>55.516159999999999</v>
      </c>
      <c r="H319">
        <v>1.563842</v>
      </c>
      <c r="I319">
        <f t="shared" si="22"/>
        <v>2.8169131294383472E-2</v>
      </c>
      <c r="J319">
        <v>130.245</v>
      </c>
      <c r="K319">
        <f>-1.055003</f>
        <v>-1.0550029999999999</v>
      </c>
      <c r="L319">
        <f t="shared" si="24"/>
        <v>-8.1001420400015345E-3</v>
      </c>
      <c r="M319">
        <v>84.551879999999997</v>
      </c>
      <c r="N319">
        <v>7.6881240000000002</v>
      </c>
      <c r="O319">
        <f t="shared" si="23"/>
        <v>9.0927889480399496E-2</v>
      </c>
    </row>
    <row r="320" spans="1:15" x14ac:dyDescent="0.25">
      <c r="A320">
        <v>3927.6350000000002</v>
      </c>
      <c r="B320">
        <f>-22.05519</f>
        <v>-22.05519</v>
      </c>
      <c r="C320">
        <f t="shared" si="20"/>
        <v>-5.6153868676697295E-3</v>
      </c>
      <c r="D320">
        <v>134.94630000000001</v>
      </c>
      <c r="E320">
        <f>-1.746274</f>
        <v>-1.7462740000000001</v>
      </c>
      <c r="F320">
        <f t="shared" si="21"/>
        <v>-1.2940510410437337E-2</v>
      </c>
      <c r="G320">
        <v>57.181539999999998</v>
      </c>
      <c r="H320">
        <f>-1.321543</f>
        <v>-1.3215429999999999</v>
      </c>
      <c r="I320">
        <f t="shared" si="22"/>
        <v>-2.3111357266698308E-2</v>
      </c>
      <c r="J320">
        <v>129.08590000000001</v>
      </c>
      <c r="K320">
        <v>-0.26593709999999998</v>
      </c>
      <c r="L320">
        <f t="shared" si="24"/>
        <v>-2.0601560666192046E-3</v>
      </c>
      <c r="M320">
        <v>92.69314</v>
      </c>
      <c r="N320">
        <f>-1.403141</f>
        <v>-1.403141</v>
      </c>
      <c r="O320">
        <f t="shared" si="23"/>
        <v>-1.5137484823580256E-2</v>
      </c>
    </row>
    <row r="321" spans="1:15" x14ac:dyDescent="0.25">
      <c r="A321">
        <v>3919.4360000000001</v>
      </c>
      <c r="B321">
        <v>7.2243649999999997</v>
      </c>
      <c r="C321">
        <f t="shared" si="20"/>
        <v>1.8432154524273389E-3</v>
      </c>
      <c r="D321">
        <v>133.67920000000001</v>
      </c>
      <c r="E321">
        <v>-0.1092414</v>
      </c>
      <c r="F321">
        <f t="shared" si="21"/>
        <v>-8.1719070730525015E-4</v>
      </c>
      <c r="G321">
        <v>55.964910000000003</v>
      </c>
      <c r="H321">
        <v>0.57508579999999998</v>
      </c>
      <c r="I321">
        <f t="shared" si="22"/>
        <v>1.0275828193058828E-2</v>
      </c>
      <c r="J321">
        <v>128.71619999999999</v>
      </c>
      <c r="K321">
        <v>5.0737649999999999</v>
      </c>
      <c r="L321">
        <f t="shared" si="24"/>
        <v>3.9418231737729986E-2</v>
      </c>
      <c r="M321">
        <v>91.673419999999993</v>
      </c>
      <c r="N321">
        <f>-1.713423</f>
        <v>-1.7134229999999999</v>
      </c>
      <c r="O321">
        <f t="shared" si="23"/>
        <v>-1.8690510291859953E-2</v>
      </c>
    </row>
    <row r="322" spans="1:15" x14ac:dyDescent="0.25">
      <c r="A322">
        <v>3942.1669999999999</v>
      </c>
      <c r="B322">
        <v>21.73321</v>
      </c>
      <c r="C322">
        <f t="shared" si="20"/>
        <v>5.513010991162982E-3</v>
      </c>
      <c r="D322">
        <v>134.05600000000001</v>
      </c>
      <c r="E322">
        <v>3.8539850000000002</v>
      </c>
      <c r="F322">
        <f t="shared" si="21"/>
        <v>2.8749067553858088E-2</v>
      </c>
      <c r="G322">
        <v>56.643039999999999</v>
      </c>
      <c r="H322">
        <v>2.346965</v>
      </c>
      <c r="I322">
        <f t="shared" si="22"/>
        <v>4.1434305079670865E-2</v>
      </c>
      <c r="J322">
        <v>133.68219999999999</v>
      </c>
      <c r="K322">
        <v>10.29777</v>
      </c>
      <c r="L322">
        <f t="shared" si="24"/>
        <v>7.7031721500693442E-2</v>
      </c>
      <c r="M322">
        <v>90.328540000000004</v>
      </c>
      <c r="N322">
        <v>0.54146039999999995</v>
      </c>
      <c r="O322">
        <f t="shared" si="23"/>
        <v>5.9943446445608435E-3</v>
      </c>
    </row>
    <row r="323" spans="1:15" x14ac:dyDescent="0.25">
      <c r="A323">
        <v>3977.6460000000002</v>
      </c>
      <c r="B323">
        <v>70.074129999999997</v>
      </c>
      <c r="C323">
        <f t="shared" si="20"/>
        <v>1.7616985020788675E-2</v>
      </c>
      <c r="D323">
        <v>138.32830000000001</v>
      </c>
      <c r="E323">
        <v>3.9117099999999998</v>
      </c>
      <c r="F323">
        <f t="shared" si="21"/>
        <v>2.8278450613504248E-2</v>
      </c>
      <c r="G323">
        <v>59.086269999999999</v>
      </c>
      <c r="H323">
        <v>2.7937340000000002</v>
      </c>
      <c r="I323">
        <f t="shared" si="22"/>
        <v>4.7282287407886814E-2</v>
      </c>
      <c r="J323">
        <v>143.864</v>
      </c>
      <c r="K323">
        <v>13.575979999999999</v>
      </c>
      <c r="L323">
        <f t="shared" si="24"/>
        <v>9.4366763053995439E-2</v>
      </c>
      <c r="M323">
        <v>91.246960000000001</v>
      </c>
      <c r="N323">
        <v>1.783037</v>
      </c>
      <c r="O323">
        <f t="shared" si="23"/>
        <v>1.9540782509357025E-2</v>
      </c>
    </row>
    <row r="324" spans="1:15" x14ac:dyDescent="0.25">
      <c r="A324">
        <v>4065.2660000000001</v>
      </c>
      <c r="B324">
        <f>-35.29597</f>
        <v>-35.295969999999997</v>
      </c>
      <c r="C324">
        <f t="shared" ref="C324:C387" si="25">B324/A324</f>
        <v>-8.6823273065034356E-3</v>
      </c>
      <c r="D324">
        <v>142.55680000000001</v>
      </c>
      <c r="E324">
        <f>-2.456837</f>
        <v>-2.4568370000000002</v>
      </c>
      <c r="F324">
        <f t="shared" ref="F324:F387" si="26">E324/D324</f>
        <v>-1.7234091954926038E-2</v>
      </c>
      <c r="G324">
        <v>61.96828</v>
      </c>
      <c r="H324">
        <v>-0.68828089999999997</v>
      </c>
      <c r="I324">
        <f t="shared" ref="I324:I387" si="27">H324/G324</f>
        <v>-1.1106987316736885E-2</v>
      </c>
      <c r="J324">
        <v>157.31319999999999</v>
      </c>
      <c r="K324">
        <f>-1.053182</f>
        <v>-1.0531820000000001</v>
      </c>
      <c r="L324">
        <f t="shared" si="24"/>
        <v>-6.6948100985804119E-3</v>
      </c>
      <c r="M324">
        <v>93.292959999999994</v>
      </c>
      <c r="N324">
        <v>0.3570372</v>
      </c>
      <c r="O324">
        <f t="shared" ref="O324:O387" si="28">N324/M324</f>
        <v>3.8270540456643246E-3</v>
      </c>
    </row>
    <row r="325" spans="1:15" x14ac:dyDescent="0.25">
      <c r="A325">
        <v>4049.0639999999999</v>
      </c>
      <c r="B325">
        <f>-16.37369</f>
        <v>-16.37369</v>
      </c>
      <c r="C325">
        <f t="shared" si="25"/>
        <v>-4.0438209917156159E-3</v>
      </c>
      <c r="D325">
        <v>140.4864</v>
      </c>
      <c r="E325">
        <f>-1.236397</f>
        <v>-1.236397</v>
      </c>
      <c r="F325">
        <f t="shared" si="26"/>
        <v>-8.8008305430276514E-3</v>
      </c>
      <c r="G325">
        <v>61.36994</v>
      </c>
      <c r="H325">
        <f>-1.149939</f>
        <v>-1.149939</v>
      </c>
      <c r="I325">
        <f t="shared" si="27"/>
        <v>-1.8737821806571752E-2</v>
      </c>
      <c r="J325">
        <v>156.13409999999999</v>
      </c>
      <c r="K325">
        <v>6.4658680000000004</v>
      </c>
      <c r="L325">
        <f t="shared" ref="L325:L388" si="29">K325/J325</f>
        <v>4.1412273167744915E-2</v>
      </c>
      <c r="M325">
        <v>93.942070000000001</v>
      </c>
      <c r="N325">
        <f>-1.482068</f>
        <v>-1.4820679999999999</v>
      </c>
      <c r="O325">
        <f t="shared" si="28"/>
        <v>-1.5776403479293141E-2</v>
      </c>
    </row>
    <row r="326" spans="1:15" x14ac:dyDescent="0.25">
      <c r="A326">
        <v>4051.4740000000002</v>
      </c>
      <c r="B326">
        <v>19.316420000000001</v>
      </c>
      <c r="C326">
        <f t="shared" si="25"/>
        <v>4.76775119376306E-3</v>
      </c>
      <c r="D326">
        <v>139.63200000000001</v>
      </c>
      <c r="E326">
        <v>0.8479814</v>
      </c>
      <c r="F326">
        <f t="shared" si="26"/>
        <v>6.0729732439555404E-3</v>
      </c>
      <c r="G326">
        <v>60.312869999999997</v>
      </c>
      <c r="H326">
        <v>0.36713249999999997</v>
      </c>
      <c r="I326">
        <f t="shared" si="27"/>
        <v>6.0871336416257428E-3</v>
      </c>
      <c r="J326">
        <v>162.46899999999999</v>
      </c>
      <c r="K326">
        <v>-0.13902529999999999</v>
      </c>
      <c r="L326">
        <f t="shared" si="29"/>
        <v>-8.557035496002314E-4</v>
      </c>
      <c r="M326">
        <v>92.756479999999996</v>
      </c>
      <c r="N326">
        <v>-0.33647579999999999</v>
      </c>
      <c r="O326">
        <f t="shared" si="28"/>
        <v>-3.6275179911958713E-3</v>
      </c>
    </row>
    <row r="327" spans="1:15" x14ac:dyDescent="0.25">
      <c r="A327">
        <v>4091.3820000000001</v>
      </c>
      <c r="B327">
        <f>-7.432281</f>
        <v>-7.4322809999999997</v>
      </c>
      <c r="C327">
        <f t="shared" si="25"/>
        <v>-1.8165698045305961E-3</v>
      </c>
      <c r="D327">
        <v>140.81049999999999</v>
      </c>
      <c r="E327">
        <v>-0.33051829999999999</v>
      </c>
      <c r="F327">
        <f t="shared" si="26"/>
        <v>-2.347256064000909E-3</v>
      </c>
      <c r="G327">
        <v>60.771599999999999</v>
      </c>
      <c r="H327">
        <v>9.8403500000000005E-2</v>
      </c>
      <c r="I327">
        <f t="shared" si="27"/>
        <v>1.6192349715985757E-3</v>
      </c>
      <c r="J327">
        <v>162.19919999999999</v>
      </c>
      <c r="K327">
        <f>-1.409243</f>
        <v>-1.409243</v>
      </c>
      <c r="L327">
        <f t="shared" si="29"/>
        <v>-8.6883474147837966E-3</v>
      </c>
      <c r="M327">
        <v>92.69838</v>
      </c>
      <c r="N327">
        <v>1.061623</v>
      </c>
      <c r="O327">
        <f t="shared" si="28"/>
        <v>1.1452443936992211E-2</v>
      </c>
    </row>
    <row r="328" spans="1:15" x14ac:dyDescent="0.25">
      <c r="A328">
        <v>4104.1090000000004</v>
      </c>
      <c r="B328">
        <f>-75.59911</f>
        <v>-75.599109999999996</v>
      </c>
      <c r="C328">
        <f t="shared" si="25"/>
        <v>-1.8420346535630509E-2</v>
      </c>
      <c r="D328">
        <v>140.81780000000001</v>
      </c>
      <c r="E328">
        <f>-4.257802</f>
        <v>-4.2578019999999999</v>
      </c>
      <c r="F328">
        <f t="shared" si="26"/>
        <v>-3.0236248542442785E-2</v>
      </c>
      <c r="G328">
        <v>60.961069999999999</v>
      </c>
      <c r="H328">
        <f>-1.661072</f>
        <v>-1.6610720000000001</v>
      </c>
      <c r="I328">
        <f t="shared" si="27"/>
        <v>-2.7248078158733108E-2</v>
      </c>
      <c r="J328">
        <v>160.66050000000001</v>
      </c>
      <c r="K328">
        <f>-5.950483</f>
        <v>-5.9504830000000002</v>
      </c>
      <c r="L328">
        <f t="shared" si="29"/>
        <v>-3.7037622813323748E-2</v>
      </c>
      <c r="M328">
        <v>94.020750000000007</v>
      </c>
      <c r="N328">
        <f>-2.900753</f>
        <v>-2.9007529999999999</v>
      </c>
      <c r="O328">
        <f t="shared" si="28"/>
        <v>-3.0852263994916012E-2</v>
      </c>
    </row>
    <row r="329" spans="1:15" x14ac:dyDescent="0.25">
      <c r="A329">
        <v>4044.8580000000002</v>
      </c>
      <c r="B329">
        <f>-22.14815</f>
        <v>-22.148150000000001</v>
      </c>
      <c r="C329">
        <f t="shared" si="25"/>
        <v>-5.4756310357495864E-3</v>
      </c>
      <c r="D329">
        <v>136.935</v>
      </c>
      <c r="E329">
        <v>0.10505009999999999</v>
      </c>
      <c r="F329">
        <f t="shared" si="26"/>
        <v>7.6715302880928907E-4</v>
      </c>
      <c r="G329">
        <v>59.395409999999998</v>
      </c>
      <c r="H329">
        <v>0.39459050000000001</v>
      </c>
      <c r="I329">
        <f t="shared" si="27"/>
        <v>6.6434510680202395E-3</v>
      </c>
      <c r="J329">
        <v>154.58539999999999</v>
      </c>
      <c r="K329">
        <v>3.544619</v>
      </c>
      <c r="L329">
        <f t="shared" si="29"/>
        <v>2.2929843309911546E-2</v>
      </c>
      <c r="M329">
        <v>91.322289999999995</v>
      </c>
      <c r="N329">
        <v>0.16771259999999999</v>
      </c>
      <c r="O329">
        <f t="shared" si="28"/>
        <v>1.8364913976642505E-3</v>
      </c>
    </row>
    <row r="330" spans="1:15" x14ac:dyDescent="0.25">
      <c r="A330">
        <v>4035.0859999999998</v>
      </c>
      <c r="B330">
        <v>7.4165400000000006E-2</v>
      </c>
      <c r="C330">
        <f t="shared" si="25"/>
        <v>1.8380128701098319E-5</v>
      </c>
      <c r="D330">
        <v>137.4128</v>
      </c>
      <c r="E330">
        <v>0.90720339999999999</v>
      </c>
      <c r="F330">
        <f t="shared" si="26"/>
        <v>6.6020297963508496E-3</v>
      </c>
      <c r="G330">
        <v>59.884059999999998</v>
      </c>
      <c r="H330">
        <v>1.355944</v>
      </c>
      <c r="I330">
        <f t="shared" si="27"/>
        <v>2.264282014278925E-2</v>
      </c>
      <c r="J330">
        <v>158.0026</v>
      </c>
      <c r="K330">
        <v>9.0873740000000005</v>
      </c>
      <c r="L330">
        <f t="shared" si="29"/>
        <v>5.7514078882246245E-2</v>
      </c>
      <c r="M330">
        <v>91.72157</v>
      </c>
      <c r="N330">
        <v>0.93843469999999996</v>
      </c>
      <c r="O330">
        <f t="shared" si="28"/>
        <v>1.0231341439096604E-2</v>
      </c>
    </row>
    <row r="331" spans="1:15" x14ac:dyDescent="0.25">
      <c r="A331">
        <v>4048.8110000000001</v>
      </c>
      <c r="B331">
        <f>-24.70137</f>
        <v>-24.701370000000001</v>
      </c>
      <c r="C331">
        <f t="shared" si="25"/>
        <v>-6.1008948059072159E-3</v>
      </c>
      <c r="D331">
        <v>138.7278</v>
      </c>
      <c r="E331">
        <f>-1.647759</f>
        <v>-1.647759</v>
      </c>
      <c r="F331">
        <f t="shared" si="26"/>
        <v>-1.1877640963094635E-2</v>
      </c>
      <c r="G331">
        <v>61.33005</v>
      </c>
      <c r="H331">
        <f>-1.030049</f>
        <v>-1.030049</v>
      </c>
      <c r="I331">
        <f t="shared" si="27"/>
        <v>-1.6795176263511933E-2</v>
      </c>
      <c r="J331">
        <v>166.9554</v>
      </c>
      <c r="K331">
        <v>-0.84540859999999995</v>
      </c>
      <c r="L331">
        <f t="shared" si="29"/>
        <v>-5.0636792820118424E-3</v>
      </c>
      <c r="M331">
        <v>92.912989999999994</v>
      </c>
      <c r="N331">
        <v>-0.17298910000000001</v>
      </c>
      <c r="O331">
        <f t="shared" si="28"/>
        <v>-1.8618397707360404E-3</v>
      </c>
    </row>
    <row r="332" spans="1:15" x14ac:dyDescent="0.25">
      <c r="A332">
        <v>4037.212</v>
      </c>
      <c r="B332">
        <f>-67.98206</f>
        <v>-67.982060000000004</v>
      </c>
      <c r="C332">
        <f t="shared" si="25"/>
        <v>-1.6838863056980909E-2</v>
      </c>
      <c r="D332">
        <v>137.5575</v>
      </c>
      <c r="E332">
        <f>-2.507484</f>
        <v>-2.5074839999999998</v>
      </c>
      <c r="F332">
        <f t="shared" si="26"/>
        <v>-1.8228624393435471E-2</v>
      </c>
      <c r="G332">
        <v>60.392650000000003</v>
      </c>
      <c r="H332">
        <v>-0.88264640000000005</v>
      </c>
      <c r="I332">
        <f t="shared" si="27"/>
        <v>-1.4615129490095235E-2</v>
      </c>
      <c r="J332">
        <v>165.97620000000001</v>
      </c>
      <c r="K332">
        <f>-4.586198</f>
        <v>-4.5861980000000004</v>
      </c>
      <c r="L332">
        <f t="shared" si="29"/>
        <v>-2.7631660442882778E-2</v>
      </c>
      <c r="M332">
        <v>92.968789999999998</v>
      </c>
      <c r="N332">
        <f>-2.90879</f>
        <v>-2.9087900000000002</v>
      </c>
      <c r="O332">
        <f t="shared" si="28"/>
        <v>-3.1287811748437304E-2</v>
      </c>
    </row>
    <row r="333" spans="1:15" x14ac:dyDescent="0.25">
      <c r="A333">
        <v>3978.5039999999999</v>
      </c>
      <c r="B333">
        <v>5.7356769999999999</v>
      </c>
      <c r="C333">
        <f t="shared" si="25"/>
        <v>1.4416667672069703E-3</v>
      </c>
      <c r="D333">
        <v>135.52959999999999</v>
      </c>
      <c r="E333">
        <v>-7.9608799999999993E-2</v>
      </c>
      <c r="F333">
        <f t="shared" si="26"/>
        <v>-5.8739050362430049E-4</v>
      </c>
      <c r="G333">
        <v>59.60483</v>
      </c>
      <c r="H333">
        <v>-0.19482920000000001</v>
      </c>
      <c r="I333">
        <f t="shared" si="27"/>
        <v>-3.2686814139055512E-3</v>
      </c>
      <c r="J333">
        <v>161.26</v>
      </c>
      <c r="K333">
        <v>-0.74999990000000005</v>
      </c>
      <c r="L333">
        <f t="shared" si="29"/>
        <v>-4.650873744263922E-3</v>
      </c>
      <c r="M333">
        <v>90.291920000000005</v>
      </c>
      <c r="N333">
        <v>-0.43192649999999999</v>
      </c>
      <c r="O333">
        <f t="shared" si="28"/>
        <v>-4.783667242871787E-3</v>
      </c>
    </row>
    <row r="334" spans="1:15" x14ac:dyDescent="0.25">
      <c r="A334">
        <v>3993.5070000000001</v>
      </c>
      <c r="B334">
        <v>94.073120000000003</v>
      </c>
      <c r="C334">
        <f t="shared" si="25"/>
        <v>2.3556518118035101E-2</v>
      </c>
      <c r="D334">
        <v>135.91380000000001</v>
      </c>
      <c r="E334">
        <v>5.0962459999999998</v>
      </c>
      <c r="F334">
        <f t="shared" si="26"/>
        <v>3.7496163009201416E-2</v>
      </c>
      <c r="G334">
        <v>59.505099999999999</v>
      </c>
      <c r="H334">
        <v>2.7148949999999998</v>
      </c>
      <c r="I334">
        <f t="shared" si="27"/>
        <v>4.562457671695367E-2</v>
      </c>
      <c r="J334">
        <v>160.38069999999999</v>
      </c>
      <c r="K334">
        <v>12.719290000000001</v>
      </c>
      <c r="L334">
        <f t="shared" si="29"/>
        <v>7.9306861735857256E-2</v>
      </c>
      <c r="M334">
        <v>90.081320000000005</v>
      </c>
      <c r="N334">
        <v>5.3586770000000001</v>
      </c>
      <c r="O334">
        <f t="shared" si="28"/>
        <v>5.9487105650760888E-2</v>
      </c>
    </row>
    <row r="335" spans="1:15" x14ac:dyDescent="0.25">
      <c r="A335">
        <v>4103.326</v>
      </c>
      <c r="B335">
        <f>-35.02562</f>
        <v>-35.025620000000004</v>
      </c>
      <c r="C335">
        <f t="shared" si="25"/>
        <v>-8.5359096498791483E-3</v>
      </c>
      <c r="D335">
        <v>141.4117</v>
      </c>
      <c r="E335">
        <f>-2.071718</f>
        <v>-2.0717180000000002</v>
      </c>
      <c r="F335">
        <f t="shared" si="26"/>
        <v>-1.4650258783396283E-2</v>
      </c>
      <c r="G335">
        <v>62.307340000000003</v>
      </c>
      <c r="H335">
        <f>-1.137341</f>
        <v>-1.1373409999999999</v>
      </c>
      <c r="I335">
        <f t="shared" si="27"/>
        <v>-1.8253724200070168E-2</v>
      </c>
      <c r="J335">
        <v>172.9606</v>
      </c>
      <c r="K335">
        <f>-3.610568</f>
        <v>-3.6105680000000002</v>
      </c>
      <c r="L335">
        <f t="shared" si="29"/>
        <v>-2.0875089471243741E-2</v>
      </c>
      <c r="M335">
        <v>95.737489999999994</v>
      </c>
      <c r="N335">
        <v>1.26251</v>
      </c>
      <c r="O335">
        <f t="shared" si="28"/>
        <v>1.3187205973333959E-2</v>
      </c>
    </row>
    <row r="336" spans="1:15" x14ac:dyDescent="0.25">
      <c r="A336">
        <v>4083.5590000000002</v>
      </c>
      <c r="B336" s="8">
        <v>8.5813000000000006</v>
      </c>
      <c r="C336">
        <f t="shared" si="25"/>
        <v>2.1014267211518188E-3</v>
      </c>
      <c r="D336">
        <v>139.76480000000001</v>
      </c>
      <c r="E336">
        <v>2.595164</v>
      </c>
      <c r="F336">
        <f t="shared" si="26"/>
        <v>1.8568080088834957E-2</v>
      </c>
      <c r="G336">
        <v>61.260240000000003</v>
      </c>
      <c r="H336">
        <v>-1.0242599999999999E-2</v>
      </c>
      <c r="I336">
        <f t="shared" si="27"/>
        <v>-1.6719816964478099E-4</v>
      </c>
      <c r="J336">
        <v>169.21360000000001</v>
      </c>
      <c r="K336">
        <v>1.0864119999999999</v>
      </c>
      <c r="L336">
        <f t="shared" si="29"/>
        <v>6.4203586472954882E-3</v>
      </c>
      <c r="M336">
        <v>97.323509999999999</v>
      </c>
      <c r="N336">
        <v>0.63649330000000004</v>
      </c>
      <c r="O336">
        <f t="shared" si="28"/>
        <v>6.5399747707414174E-3</v>
      </c>
    </row>
    <row r="337" spans="1:15" x14ac:dyDescent="0.25">
      <c r="A337">
        <v>4107.7650000000003</v>
      </c>
      <c r="B337">
        <f>-2.304774</f>
        <v>-2.3047740000000001</v>
      </c>
      <c r="C337">
        <f t="shared" si="25"/>
        <v>-5.6107737419253535E-4</v>
      </c>
      <c r="D337">
        <v>142.69540000000001</v>
      </c>
      <c r="E337">
        <v>-0.55544729999999998</v>
      </c>
      <c r="F337">
        <f t="shared" si="26"/>
        <v>-3.8925382317860279E-3</v>
      </c>
      <c r="G337">
        <v>61.340020000000003</v>
      </c>
      <c r="H337">
        <v>-0.70002160000000002</v>
      </c>
      <c r="I337">
        <f t="shared" si="27"/>
        <v>-1.1412151479572389E-2</v>
      </c>
      <c r="J337">
        <v>170.1628</v>
      </c>
      <c r="K337">
        <f>-1.522823</f>
        <v>-1.522823</v>
      </c>
      <c r="L337">
        <f t="shared" si="29"/>
        <v>-8.9492121662313965E-3</v>
      </c>
      <c r="M337">
        <v>98.351680000000002</v>
      </c>
      <c r="N337">
        <v>1.6183190000000001</v>
      </c>
      <c r="O337">
        <f t="shared" si="28"/>
        <v>1.6454411353217353E-2</v>
      </c>
    </row>
    <row r="338" spans="1:15" x14ac:dyDescent="0.25">
      <c r="A338">
        <v>4122.0940000000001</v>
      </c>
      <c r="B338">
        <f>-16.73441</f>
        <v>-16.73441</v>
      </c>
      <c r="C338">
        <f t="shared" si="25"/>
        <v>-4.059686654404291E-3</v>
      </c>
      <c r="D338">
        <v>142.48429999999999</v>
      </c>
      <c r="E338">
        <f>-1.014319</f>
        <v>-1.014319</v>
      </c>
      <c r="F338">
        <f t="shared" si="26"/>
        <v>-7.1188123884526229E-3</v>
      </c>
      <c r="G338">
        <v>60.73171</v>
      </c>
      <c r="H338">
        <v>3.8293000000000001E-2</v>
      </c>
      <c r="I338">
        <f t="shared" si="27"/>
        <v>6.3052728138232898E-4</v>
      </c>
      <c r="J338">
        <v>168.5042</v>
      </c>
      <c r="K338">
        <v>0.39584000000000003</v>
      </c>
      <c r="L338">
        <f t="shared" si="29"/>
        <v>2.3491402588184749E-3</v>
      </c>
      <c r="M338">
        <v>100.401</v>
      </c>
      <c r="N338">
        <v>7.7390049999999997</v>
      </c>
      <c r="O338">
        <f t="shared" si="28"/>
        <v>7.708095536897043E-2</v>
      </c>
    </row>
    <row r="339" spans="1:15" x14ac:dyDescent="0.25">
      <c r="A339">
        <v>4124.4440000000004</v>
      </c>
      <c r="B339">
        <v>32.475619999999999</v>
      </c>
      <c r="C339">
        <f t="shared" si="25"/>
        <v>7.8739388872778957E-3</v>
      </c>
      <c r="D339">
        <v>141.8391</v>
      </c>
      <c r="E339">
        <v>8.6870000000000003E-4</v>
      </c>
      <c r="F339">
        <f t="shared" si="26"/>
        <v>6.1245453475099603E-6</v>
      </c>
      <c r="G339">
        <v>60.861350000000002</v>
      </c>
      <c r="H339">
        <v>-0.16134780000000001</v>
      </c>
      <c r="I339">
        <f t="shared" si="27"/>
        <v>-2.6510716571354399E-3</v>
      </c>
      <c r="J339">
        <v>168.76390000000001</v>
      </c>
      <c r="K339">
        <f>-1.133951</f>
        <v>-1.1339509999999999</v>
      </c>
      <c r="L339">
        <f t="shared" si="29"/>
        <v>-6.7191561702473097E-3</v>
      </c>
      <c r="M339">
        <v>108.6086</v>
      </c>
      <c r="N339">
        <v>4.4613940000000003</v>
      </c>
      <c r="O339">
        <f t="shared" si="28"/>
        <v>4.1077723126897878E-2</v>
      </c>
    </row>
    <row r="340" spans="1:15" x14ac:dyDescent="0.25">
      <c r="A340">
        <v>4177.3289999999997</v>
      </c>
      <c r="B340">
        <v>702.63109999999995</v>
      </c>
      <c r="C340">
        <f t="shared" si="25"/>
        <v>0.16820104425579119</v>
      </c>
      <c r="D340">
        <v>142.18899999999999</v>
      </c>
      <c r="E340">
        <v>21.82104</v>
      </c>
      <c r="F340">
        <f t="shared" si="26"/>
        <v>0.15346503597324687</v>
      </c>
      <c r="G340">
        <v>60.791539999999998</v>
      </c>
      <c r="H340">
        <v>15.46846</v>
      </c>
      <c r="I340">
        <f t="shared" si="27"/>
        <v>0.25445086602510814</v>
      </c>
      <c r="J340">
        <v>167.495</v>
      </c>
      <c r="K340">
        <v>68.905029999999996</v>
      </c>
      <c r="L340">
        <f t="shared" si="29"/>
        <v>0.41138559359980892</v>
      </c>
      <c r="M340">
        <v>113.5958</v>
      </c>
      <c r="N340">
        <v>11.13416</v>
      </c>
      <c r="O340">
        <f t="shared" si="28"/>
        <v>9.8015595647022155E-2</v>
      </c>
    </row>
    <row r="341" spans="1:15" x14ac:dyDescent="0.25">
      <c r="A341">
        <v>4923.7340000000004</v>
      </c>
      <c r="B341">
        <v>47.575830000000003</v>
      </c>
      <c r="C341">
        <f t="shared" si="25"/>
        <v>9.6625508201702206E-3</v>
      </c>
      <c r="D341">
        <v>164.0274</v>
      </c>
      <c r="E341">
        <f>-2.597421</f>
        <v>-2.5974210000000002</v>
      </c>
      <c r="F341">
        <f t="shared" si="26"/>
        <v>-1.5835287275174758E-2</v>
      </c>
      <c r="G341">
        <v>76.308549999999997</v>
      </c>
      <c r="H341">
        <v>8.8614510000000006</v>
      </c>
      <c r="I341">
        <f t="shared" si="27"/>
        <v>0.11612658083530615</v>
      </c>
      <c r="J341">
        <v>236.20959999999999</v>
      </c>
      <c r="K341">
        <v>62.260420000000003</v>
      </c>
      <c r="L341">
        <f t="shared" si="29"/>
        <v>0.26358124309934905</v>
      </c>
      <c r="M341">
        <v>125.4434</v>
      </c>
      <c r="N341">
        <v>-0.57337990000000005</v>
      </c>
      <c r="O341">
        <f t="shared" si="28"/>
        <v>-4.5708255675467983E-3</v>
      </c>
    </row>
    <row r="342" spans="1:15" x14ac:dyDescent="0.25">
      <c r="A342">
        <v>5019.482</v>
      </c>
      <c r="B342">
        <f>-96.67201</f>
        <v>-96.67201</v>
      </c>
      <c r="C342">
        <f t="shared" si="25"/>
        <v>-1.9259359830356999E-2</v>
      </c>
      <c r="D342">
        <v>161.488</v>
      </c>
      <c r="E342">
        <f>-3.467991</f>
        <v>-3.467991</v>
      </c>
      <c r="F342">
        <f t="shared" si="26"/>
        <v>-2.1475224165263054E-2</v>
      </c>
      <c r="G342">
        <v>85.193929999999995</v>
      </c>
      <c r="H342">
        <v>-0.1539305</v>
      </c>
      <c r="I342">
        <f t="shared" si="27"/>
        <v>-1.8068247350486121E-3</v>
      </c>
      <c r="J342">
        <v>298.2296</v>
      </c>
      <c r="K342">
        <f>-11.58958</f>
        <v>-11.58958</v>
      </c>
      <c r="L342">
        <f t="shared" si="29"/>
        <v>-3.8861266621421885E-2</v>
      </c>
      <c r="M342">
        <v>125.5474</v>
      </c>
      <c r="N342">
        <f>-1.697435</f>
        <v>-1.697435</v>
      </c>
      <c r="O342">
        <f t="shared" si="28"/>
        <v>-1.3520272024749218E-2</v>
      </c>
    </row>
    <row r="343" spans="1:15" x14ac:dyDescent="0.25">
      <c r="A343">
        <v>4968.0389999999998</v>
      </c>
      <c r="B343">
        <v>68.751170000000002</v>
      </c>
      <c r="C343">
        <f t="shared" si="25"/>
        <v>1.3838693697855432E-2</v>
      </c>
      <c r="D343">
        <v>158.1927</v>
      </c>
      <c r="E343">
        <v>7.3173149999999998</v>
      </c>
      <c r="F343">
        <f t="shared" si="26"/>
        <v>4.6255705857476355E-2</v>
      </c>
      <c r="G343">
        <v>85.06429</v>
      </c>
      <c r="H343">
        <v>3.6457099999999998</v>
      </c>
      <c r="I343">
        <f t="shared" si="27"/>
        <v>4.2858289888741796E-2</v>
      </c>
      <c r="J343">
        <v>286.40910000000002</v>
      </c>
      <c r="K343">
        <v>6.4008890000000003</v>
      </c>
      <c r="L343">
        <f t="shared" si="29"/>
        <v>2.2348762661521578E-2</v>
      </c>
      <c r="M343">
        <v>124.3533</v>
      </c>
      <c r="N343">
        <v>8.4167299999999994</v>
      </c>
      <c r="O343">
        <f t="shared" si="28"/>
        <v>6.7684009994105496E-2</v>
      </c>
    </row>
    <row r="344" spans="1:15" x14ac:dyDescent="0.25">
      <c r="A344">
        <v>5085.835</v>
      </c>
      <c r="B344">
        <f>-23.04495</f>
        <v>-23.04495</v>
      </c>
      <c r="C344">
        <f t="shared" si="25"/>
        <v>-4.5312028408314468E-3</v>
      </c>
      <c r="D344">
        <v>165.55869999999999</v>
      </c>
      <c r="E344">
        <v>0.42126849999999999</v>
      </c>
      <c r="F344">
        <f t="shared" si="26"/>
        <v>2.5445265032885619E-3</v>
      </c>
      <c r="G344">
        <v>88.724149999999995</v>
      </c>
      <c r="H344">
        <v>3.6958510000000002</v>
      </c>
      <c r="I344">
        <f t="shared" si="27"/>
        <v>4.1655524454164962E-2</v>
      </c>
      <c r="J344">
        <v>292.57409999999999</v>
      </c>
      <c r="K344">
        <v>13.225860000000001</v>
      </c>
      <c r="L344">
        <f t="shared" si="29"/>
        <v>4.5205163409884883E-2</v>
      </c>
      <c r="M344">
        <v>133.3365</v>
      </c>
      <c r="N344">
        <f>-2.446548</f>
        <v>-2.4465479999999999</v>
      </c>
      <c r="O344">
        <f t="shared" si="28"/>
        <v>-1.8348674218987299E-2</v>
      </c>
    </row>
    <row r="345" spans="1:15" x14ac:dyDescent="0.25">
      <c r="A345">
        <v>5112.8459999999995</v>
      </c>
      <c r="B345">
        <v>86.994230000000002</v>
      </c>
      <c r="C345">
        <f t="shared" si="25"/>
        <v>1.7014834790643023E-2</v>
      </c>
      <c r="D345">
        <v>166.05889999999999</v>
      </c>
      <c r="E345">
        <v>8.3911160000000002</v>
      </c>
      <c r="F345">
        <f t="shared" si="26"/>
        <v>5.0530962206783256E-2</v>
      </c>
      <c r="G345">
        <v>92.423900000000003</v>
      </c>
      <c r="H345">
        <v>-9.3898700000000002E-2</v>
      </c>
      <c r="I345">
        <f t="shared" si="27"/>
        <v>-1.0159569115780658E-3</v>
      </c>
      <c r="J345">
        <v>305.55369999999999</v>
      </c>
      <c r="K345">
        <v>14.21632</v>
      </c>
      <c r="L345">
        <f t="shared" si="29"/>
        <v>4.6526420724082217E-2</v>
      </c>
      <c r="M345">
        <v>131.20050000000001</v>
      </c>
      <c r="N345">
        <v>4.0795070000000004</v>
      </c>
      <c r="O345">
        <f t="shared" si="28"/>
        <v>3.1093684856383932E-2</v>
      </c>
    </row>
    <row r="346" spans="1:15" x14ac:dyDescent="0.25">
      <c r="A346">
        <v>5252.8950000000004</v>
      </c>
      <c r="B346">
        <v>37.024979999999999</v>
      </c>
      <c r="C346">
        <f t="shared" si="25"/>
        <v>7.0484904038630117E-3</v>
      </c>
      <c r="D346">
        <v>174.40899999999999</v>
      </c>
      <c r="E346">
        <v>5.8110350000000004</v>
      </c>
      <c r="F346">
        <f t="shared" si="26"/>
        <v>3.3318435401842796E-2</v>
      </c>
      <c r="G346">
        <v>92.334140000000005</v>
      </c>
      <c r="H346">
        <f>-2.834147</f>
        <v>-2.8341470000000002</v>
      </c>
      <c r="I346">
        <f t="shared" si="27"/>
        <v>-3.0694464690958295E-2</v>
      </c>
      <c r="J346">
        <v>319.51240000000001</v>
      </c>
      <c r="K346">
        <f>-9.562425</f>
        <v>-9.5624249999999993</v>
      </c>
      <c r="L346">
        <f t="shared" si="29"/>
        <v>-2.992818119108992E-2</v>
      </c>
      <c r="M346">
        <v>135.6653</v>
      </c>
      <c r="N346">
        <v>0.66466650000000005</v>
      </c>
      <c r="O346">
        <f t="shared" si="28"/>
        <v>4.8993110250004981E-3</v>
      </c>
    </row>
    <row r="347" spans="1:15" x14ac:dyDescent="0.25">
      <c r="A347">
        <v>5314.1319999999996</v>
      </c>
      <c r="B347">
        <f>-110.0225</f>
        <v>-110.02249999999999</v>
      </c>
      <c r="C347">
        <f t="shared" si="25"/>
        <v>-2.0703757452769332E-2</v>
      </c>
      <c r="D347">
        <v>180.09100000000001</v>
      </c>
      <c r="E347">
        <f>-4.020959</f>
        <v>-4.0209590000000004</v>
      </c>
      <c r="F347">
        <f t="shared" si="26"/>
        <v>-2.2327373383456143E-2</v>
      </c>
      <c r="G347">
        <v>89.511960000000002</v>
      </c>
      <c r="H347">
        <f>-2.741967</f>
        <v>-2.7419669999999998</v>
      </c>
      <c r="I347">
        <f t="shared" si="27"/>
        <v>-3.0632409345075225E-2</v>
      </c>
      <c r="J347">
        <v>309.70030000000003</v>
      </c>
      <c r="K347">
        <f>-13.73033</f>
        <v>-13.73033</v>
      </c>
      <c r="L347">
        <f t="shared" si="29"/>
        <v>-4.4334248303924795E-2</v>
      </c>
      <c r="M347">
        <v>136.7534</v>
      </c>
      <c r="N347">
        <f>-4.393369</f>
        <v>-4.3933689999999999</v>
      </c>
      <c r="O347">
        <f t="shared" si="28"/>
        <v>-3.2126214046597747E-2</v>
      </c>
    </row>
    <row r="348" spans="1:15" x14ac:dyDescent="0.25">
      <c r="A348">
        <v>5220.9170000000004</v>
      </c>
      <c r="B348">
        <v>104.16330000000001</v>
      </c>
      <c r="C348">
        <f t="shared" si="25"/>
        <v>1.9951150343895527E-2</v>
      </c>
      <c r="D348">
        <v>176.00290000000001</v>
      </c>
      <c r="E348">
        <v>1.337102</v>
      </c>
      <c r="F348">
        <f t="shared" si="26"/>
        <v>7.597045275958521E-3</v>
      </c>
      <c r="G348">
        <v>86.789510000000007</v>
      </c>
      <c r="H348">
        <v>1.60049</v>
      </c>
      <c r="I348">
        <f t="shared" si="27"/>
        <v>1.8441053532852067E-2</v>
      </c>
      <c r="J348">
        <v>295.73160000000001</v>
      </c>
      <c r="K348">
        <v>9.3884050000000006</v>
      </c>
      <c r="L348">
        <f t="shared" si="29"/>
        <v>3.1746370695590193E-2</v>
      </c>
      <c r="M348">
        <v>132.5428</v>
      </c>
      <c r="N348">
        <f>-2.46278</f>
        <v>-2.46278</v>
      </c>
      <c r="O348">
        <f t="shared" si="28"/>
        <v>-1.8581016848897111E-2</v>
      </c>
    </row>
    <row r="349" spans="1:15" x14ac:dyDescent="0.25">
      <c r="A349">
        <v>5348.7370000000001</v>
      </c>
      <c r="B349">
        <f>-287.5375</f>
        <v>-287.53750000000002</v>
      </c>
      <c r="C349">
        <f t="shared" si="25"/>
        <v>-5.3758018014346196E-2</v>
      </c>
      <c r="D349">
        <v>177.52440000000001</v>
      </c>
      <c r="E349">
        <f>-12.18443</f>
        <v>-12.184430000000001</v>
      </c>
      <c r="F349">
        <f t="shared" si="26"/>
        <v>-6.8635241127416854E-2</v>
      </c>
      <c r="G349">
        <v>88.40504</v>
      </c>
      <c r="H349">
        <f>-8.775034</f>
        <v>-8.7750339999999998</v>
      </c>
      <c r="I349">
        <f t="shared" si="27"/>
        <v>-9.925943136273678E-2</v>
      </c>
      <c r="J349">
        <v>304.87419999999997</v>
      </c>
      <c r="K349">
        <f>-32.23423</f>
        <v>-32.234229999999997</v>
      </c>
      <c r="L349">
        <f t="shared" si="29"/>
        <v>-0.10572960913058567</v>
      </c>
      <c r="M349">
        <v>130.2585</v>
      </c>
      <c r="N349">
        <f>-7.118454</f>
        <v>-7.1184539999999998</v>
      </c>
      <c r="O349">
        <f t="shared" si="28"/>
        <v>-5.4648671679775218E-2</v>
      </c>
    </row>
    <row r="350" spans="1:15" x14ac:dyDescent="0.25">
      <c r="A350">
        <v>5069.5469999999996</v>
      </c>
      <c r="B350">
        <v>19.30256</v>
      </c>
      <c r="C350">
        <f t="shared" si="25"/>
        <v>3.8075512466893002E-3</v>
      </c>
      <c r="D350">
        <v>165.6592</v>
      </c>
      <c r="E350">
        <f>-1.039226</f>
        <v>-1.039226</v>
      </c>
      <c r="F350">
        <f t="shared" si="26"/>
        <v>-6.2732767030143815E-3</v>
      </c>
      <c r="G350">
        <v>79.669240000000002</v>
      </c>
      <c r="H350">
        <v>-0.71923760000000003</v>
      </c>
      <c r="I350">
        <f t="shared" si="27"/>
        <v>-9.0277954201646703E-3</v>
      </c>
      <c r="J350">
        <v>272.42039999999997</v>
      </c>
      <c r="K350">
        <v>10.25961</v>
      </c>
      <c r="L350">
        <f t="shared" si="29"/>
        <v>3.766094609654784E-2</v>
      </c>
      <c r="M350">
        <v>123.11199999999999</v>
      </c>
      <c r="N350">
        <f>-3.522003</f>
        <v>-3.5220030000000002</v>
      </c>
      <c r="O350">
        <f t="shared" si="28"/>
        <v>-2.860812106049776E-2</v>
      </c>
    </row>
    <row r="351" spans="1:15" x14ac:dyDescent="0.25">
      <c r="A351">
        <v>5097.1049999999996</v>
      </c>
      <c r="B351">
        <f>-1.345125</f>
        <v>-1.3451249999999999</v>
      </c>
      <c r="C351">
        <f t="shared" si="25"/>
        <v>-2.6389980194639899E-4</v>
      </c>
      <c r="D351">
        <v>164.90780000000001</v>
      </c>
      <c r="E351">
        <v>-0.42780049999999997</v>
      </c>
      <c r="F351">
        <f t="shared" si="26"/>
        <v>-2.5941798993134343E-3</v>
      </c>
      <c r="G351">
        <v>78.991119999999995</v>
      </c>
      <c r="H351">
        <v>-0.79111640000000005</v>
      </c>
      <c r="I351">
        <f t="shared" si="27"/>
        <v>-1.0015257411212806E-2</v>
      </c>
      <c r="J351">
        <v>282.45229999999998</v>
      </c>
      <c r="K351">
        <f>-3.0423</f>
        <v>-3.0423</v>
      </c>
      <c r="L351">
        <f t="shared" si="29"/>
        <v>-1.0771022222159282E-2</v>
      </c>
      <c r="M351">
        <v>119.47920000000001</v>
      </c>
      <c r="N351">
        <v>0.65074949999999998</v>
      </c>
      <c r="O351">
        <f t="shared" si="28"/>
        <v>5.4465505292971492E-3</v>
      </c>
    </row>
    <row r="352" spans="1:15" x14ac:dyDescent="0.25">
      <c r="A352">
        <v>5098.1549999999997</v>
      </c>
      <c r="B352">
        <v>69.165300000000002</v>
      </c>
      <c r="C352">
        <f t="shared" si="25"/>
        <v>1.3566731494040493E-2</v>
      </c>
      <c r="D352">
        <v>164.86070000000001</v>
      </c>
      <c r="E352">
        <v>3.0393430000000001</v>
      </c>
      <c r="F352">
        <f t="shared" si="26"/>
        <v>1.8435824911576866E-2</v>
      </c>
      <c r="G352">
        <v>78.243189999999998</v>
      </c>
      <c r="H352">
        <v>4.7668109999999997</v>
      </c>
      <c r="I352">
        <f t="shared" si="27"/>
        <v>6.0923014514106595E-2</v>
      </c>
      <c r="J352">
        <v>279.18490000000003</v>
      </c>
      <c r="K352">
        <v>9.5150649999999999</v>
      </c>
      <c r="L352">
        <f t="shared" si="29"/>
        <v>3.4081588939802974E-2</v>
      </c>
      <c r="M352">
        <v>120.10469999999999</v>
      </c>
      <c r="N352">
        <v>3.1253350000000002</v>
      </c>
      <c r="O352">
        <f t="shared" si="28"/>
        <v>2.6021754352660641E-2</v>
      </c>
    </row>
    <row r="353" spans="1:15" x14ac:dyDescent="0.25">
      <c r="A353">
        <v>5168.4570000000003</v>
      </c>
      <c r="B353">
        <f>-101.8768</f>
        <v>-101.8768</v>
      </c>
      <c r="C353">
        <f t="shared" si="25"/>
        <v>-1.9711260053048713E-2</v>
      </c>
      <c r="D353">
        <v>168.239</v>
      </c>
      <c r="E353">
        <f>-6.709019</f>
        <v>-6.7090189999999996</v>
      </c>
      <c r="F353">
        <f t="shared" si="26"/>
        <v>-3.9877905836339968E-2</v>
      </c>
      <c r="G353">
        <v>83.039900000000003</v>
      </c>
      <c r="H353">
        <f>-3.999899</f>
        <v>-3.9998990000000001</v>
      </c>
      <c r="I353">
        <f t="shared" si="27"/>
        <v>-4.8168398565027172E-2</v>
      </c>
      <c r="J353">
        <v>288.4674</v>
      </c>
      <c r="K353">
        <v>25.652550000000002</v>
      </c>
      <c r="L353">
        <f t="shared" si="29"/>
        <v>8.8927033002689393E-2</v>
      </c>
      <c r="M353">
        <v>123.303</v>
      </c>
      <c r="N353">
        <f>-3.992981</f>
        <v>-3.9929809999999999</v>
      </c>
      <c r="O353">
        <f t="shared" si="28"/>
        <v>-3.2383486208770268E-2</v>
      </c>
    </row>
    <row r="354" spans="1:15" x14ac:dyDescent="0.25">
      <c r="A354">
        <v>5067.6540000000005</v>
      </c>
      <c r="B354">
        <v>168.48570000000001</v>
      </c>
      <c r="C354">
        <f t="shared" si="25"/>
        <v>3.3247277734430959E-2</v>
      </c>
      <c r="D354">
        <v>162.06</v>
      </c>
      <c r="E354">
        <v>5.4899880000000003</v>
      </c>
      <c r="F354">
        <f t="shared" si="26"/>
        <v>3.387626804887079E-2</v>
      </c>
      <c r="G354">
        <v>79.080860000000001</v>
      </c>
      <c r="H354">
        <v>2.2691319999999999</v>
      </c>
      <c r="I354">
        <f t="shared" si="27"/>
        <v>2.8693820476914388E-2</v>
      </c>
      <c r="J354">
        <v>313.86700000000002</v>
      </c>
      <c r="K354">
        <v>4.4430249999999996</v>
      </c>
      <c r="L354">
        <f t="shared" si="29"/>
        <v>1.4155757056332775E-2</v>
      </c>
      <c r="M354">
        <v>119.4464</v>
      </c>
      <c r="N354">
        <v>2.0935920000000001</v>
      </c>
      <c r="O354">
        <f t="shared" si="28"/>
        <v>1.752746001553835E-2</v>
      </c>
    </row>
    <row r="355" spans="1:15" x14ac:dyDescent="0.25">
      <c r="A355">
        <v>5238.3680000000004</v>
      </c>
      <c r="B355">
        <v>13.111599999999999</v>
      </c>
      <c r="C355">
        <f t="shared" si="25"/>
        <v>2.5029932986762285E-3</v>
      </c>
      <c r="D355">
        <v>168.0667</v>
      </c>
      <c r="E355">
        <f>-1.156718</f>
        <v>-1.1567179999999999</v>
      </c>
      <c r="F355">
        <f t="shared" si="26"/>
        <v>-6.8824936766176759E-3</v>
      </c>
      <c r="G355">
        <v>81.384479999999996</v>
      </c>
      <c r="H355">
        <f>-1.994485</f>
        <v>-1.9944850000000001</v>
      </c>
      <c r="I355">
        <f t="shared" si="27"/>
        <v>-2.45069453045593E-2</v>
      </c>
      <c r="J355">
        <v>318.05360000000002</v>
      </c>
      <c r="K355">
        <f>-7.1836</f>
        <v>-7.1836000000000002</v>
      </c>
      <c r="L355">
        <f t="shared" si="29"/>
        <v>-2.25861301365556E-2</v>
      </c>
      <c r="M355">
        <v>121.78360000000001</v>
      </c>
      <c r="N355">
        <f>-1.183636</f>
        <v>-1.1836359999999999</v>
      </c>
      <c r="O355">
        <f t="shared" si="28"/>
        <v>-9.7191740102936675E-3</v>
      </c>
    </row>
    <row r="356" spans="1:15" x14ac:dyDescent="0.25">
      <c r="A356">
        <v>5266.1009999999997</v>
      </c>
      <c r="B356">
        <v>32.049050000000001</v>
      </c>
      <c r="C356">
        <f t="shared" si="25"/>
        <v>6.0859163164550022E-3</v>
      </c>
      <c r="D356">
        <v>167.3852</v>
      </c>
      <c r="E356">
        <v>6.4047980000000004</v>
      </c>
      <c r="F356">
        <f t="shared" si="26"/>
        <v>3.8263824997670046E-2</v>
      </c>
      <c r="G356">
        <v>79.429900000000004</v>
      </c>
      <c r="H356">
        <v>2.670099</v>
      </c>
      <c r="I356">
        <f t="shared" si="27"/>
        <v>3.3615792038010871E-2</v>
      </c>
      <c r="J356">
        <v>310.61959999999999</v>
      </c>
      <c r="K356">
        <f>-3.689593</f>
        <v>-3.6895929999999999</v>
      </c>
      <c r="L356">
        <f t="shared" si="29"/>
        <v>-1.1878171886126955E-2</v>
      </c>
      <c r="M356">
        <v>120.8167</v>
      </c>
      <c r="N356">
        <v>3.553283</v>
      </c>
      <c r="O356">
        <f t="shared" si="28"/>
        <v>2.9410528511373015E-2</v>
      </c>
    </row>
    <row r="357" spans="1:15" x14ac:dyDescent="0.25">
      <c r="A357">
        <v>5313.3410000000003</v>
      </c>
      <c r="B357">
        <f>-9.181045</f>
        <v>-9.1810449999999992</v>
      </c>
      <c r="C357">
        <f t="shared" si="25"/>
        <v>-1.7279231654810032E-3</v>
      </c>
      <c r="D357">
        <v>174.18539999999999</v>
      </c>
      <c r="E357">
        <v>-0.4653796</v>
      </c>
      <c r="F357">
        <f t="shared" si="26"/>
        <v>-2.6717486080922973E-3</v>
      </c>
      <c r="G357">
        <v>82.132419999999996</v>
      </c>
      <c r="H357">
        <v>0.41758709999999999</v>
      </c>
      <c r="I357">
        <f t="shared" si="27"/>
        <v>5.0843150609710518E-3</v>
      </c>
      <c r="J357">
        <v>306.68279999999999</v>
      </c>
      <c r="K357">
        <v>0.1772329</v>
      </c>
      <c r="L357">
        <f t="shared" si="29"/>
        <v>5.7790296684391822E-4</v>
      </c>
      <c r="M357">
        <v>124.59399999999999</v>
      </c>
      <c r="N357">
        <f>-1.544035</f>
        <v>-1.544035</v>
      </c>
      <c r="O357">
        <f t="shared" si="28"/>
        <v>-1.2392530940494728E-2</v>
      </c>
    </row>
    <row r="358" spans="1:15" x14ac:dyDescent="0.25">
      <c r="A358">
        <v>5319.2749999999996</v>
      </c>
      <c r="B358">
        <v>16.6053</v>
      </c>
      <c r="C358">
        <f t="shared" si="25"/>
        <v>3.1217224151787602E-3</v>
      </c>
      <c r="D358">
        <v>173.97069999999999</v>
      </c>
      <c r="E358">
        <v>-0.25068550000000001</v>
      </c>
      <c r="F358">
        <f t="shared" si="26"/>
        <v>-1.4409639094399231E-3</v>
      </c>
      <c r="G358">
        <v>82.58117</v>
      </c>
      <c r="H358">
        <f>-1.06117</f>
        <v>-1.0611699999999999</v>
      </c>
      <c r="I358">
        <f t="shared" si="27"/>
        <v>-1.2850023800825297E-2</v>
      </c>
      <c r="J358">
        <v>306.61279999999999</v>
      </c>
      <c r="K358">
        <f>-5.802824</f>
        <v>-5.8028240000000002</v>
      </c>
      <c r="L358">
        <f t="shared" si="29"/>
        <v>-1.8925576492566522E-2</v>
      </c>
      <c r="M358">
        <v>123.3257</v>
      </c>
      <c r="N358">
        <v>0.26434940000000001</v>
      </c>
      <c r="O358">
        <f t="shared" si="28"/>
        <v>2.1435061791662243E-3</v>
      </c>
    </row>
    <row r="359" spans="1:15" x14ac:dyDescent="0.25">
      <c r="A359">
        <v>5349.0230000000001</v>
      </c>
      <c r="B359">
        <f>-36.53281</f>
        <v>-36.532809999999998</v>
      </c>
      <c r="C359">
        <f t="shared" si="25"/>
        <v>-6.8298098549959491E-3</v>
      </c>
      <c r="D359">
        <v>173.96190000000001</v>
      </c>
      <c r="E359">
        <f>-3.941946</f>
        <v>-3.9419460000000002</v>
      </c>
      <c r="F359">
        <f t="shared" si="26"/>
        <v>-2.2659823789002075E-2</v>
      </c>
      <c r="G359">
        <v>81.554019999999994</v>
      </c>
      <c r="H359">
        <f>-4.264016</f>
        <v>-4.2640159999999998</v>
      </c>
      <c r="I359">
        <f t="shared" si="27"/>
        <v>-5.2284559363229427E-2</v>
      </c>
      <c r="J359">
        <v>300.5677</v>
      </c>
      <c r="K359">
        <f>-10.2277</f>
        <v>-10.2277</v>
      </c>
      <c r="L359">
        <f t="shared" si="29"/>
        <v>-3.402794112607576E-2</v>
      </c>
      <c r="M359">
        <v>123.8326</v>
      </c>
      <c r="N359">
        <f>-2.252563</f>
        <v>-2.2525629999999999</v>
      </c>
      <c r="O359">
        <f t="shared" si="28"/>
        <v>-1.8190387668513781E-2</v>
      </c>
    </row>
    <row r="360" spans="1:15" x14ac:dyDescent="0.25">
      <c r="A360">
        <v>5329.232</v>
      </c>
      <c r="B360">
        <v>70.138159999999999</v>
      </c>
      <c r="C360">
        <f t="shared" si="25"/>
        <v>1.3161025828862395E-2</v>
      </c>
      <c r="D360">
        <v>170.3115</v>
      </c>
      <c r="E360">
        <v>1.6985349999999999</v>
      </c>
      <c r="F360">
        <f t="shared" si="26"/>
        <v>9.9731080989833333E-3</v>
      </c>
      <c r="G360">
        <v>77.335700000000003</v>
      </c>
      <c r="H360">
        <v>-0.485703</v>
      </c>
      <c r="I360">
        <f t="shared" si="27"/>
        <v>-6.2804500379514249E-3</v>
      </c>
      <c r="J360">
        <v>290.10610000000003</v>
      </c>
      <c r="K360">
        <v>2.6838700000000002</v>
      </c>
      <c r="L360">
        <f t="shared" si="29"/>
        <v>9.2513394237487591E-3</v>
      </c>
      <c r="M360">
        <v>121.80500000000001</v>
      </c>
      <c r="N360">
        <v>0.91496189999999999</v>
      </c>
      <c r="O360">
        <f t="shared" si="28"/>
        <v>7.5116941012273713E-3</v>
      </c>
    </row>
    <row r="361" spans="1:15" x14ac:dyDescent="0.25">
      <c r="A361">
        <v>5411.893</v>
      </c>
      <c r="B361">
        <v>159.61689999999999</v>
      </c>
      <c r="C361">
        <f t="shared" si="25"/>
        <v>2.9493727980209512E-2</v>
      </c>
      <c r="D361">
        <v>172.31540000000001</v>
      </c>
      <c r="E361">
        <v>-0.9654315</v>
      </c>
      <c r="F361">
        <f t="shared" si="26"/>
        <v>-5.6027000488638855E-3</v>
      </c>
      <c r="G361">
        <v>76.896919999999994</v>
      </c>
      <c r="H361">
        <f>-2.146919</f>
        <v>-2.146919</v>
      </c>
      <c r="I361">
        <f t="shared" si="27"/>
        <v>-2.7919440726624684E-2</v>
      </c>
      <c r="J361">
        <v>292.55419999999998</v>
      </c>
      <c r="K361">
        <f>-1.594157</f>
        <v>-1.594157</v>
      </c>
      <c r="L361">
        <f t="shared" si="29"/>
        <v>-5.4490996881945298E-3</v>
      </c>
      <c r="M361">
        <v>122.8931</v>
      </c>
      <c r="N361">
        <f>-4.153111</f>
        <v>-4.153111</v>
      </c>
      <c r="O361">
        <f t="shared" si="28"/>
        <v>-3.3794501074511096E-2</v>
      </c>
    </row>
    <row r="362" spans="1:15" x14ac:dyDescent="0.25">
      <c r="A362">
        <v>5590.01</v>
      </c>
      <c r="B362">
        <f>-123.49</f>
        <v>-123.49</v>
      </c>
      <c r="C362">
        <f t="shared" si="25"/>
        <v>-2.2091194827916227E-2</v>
      </c>
      <c r="D362">
        <v>171.5872</v>
      </c>
      <c r="E362">
        <f>-5.677245</f>
        <v>-5.6772450000000001</v>
      </c>
      <c r="F362">
        <f t="shared" si="26"/>
        <v>-3.3086646323268867E-2</v>
      </c>
      <c r="G362">
        <v>74.802719999999994</v>
      </c>
      <c r="H362">
        <f>-1.552721</f>
        <v>-1.552721</v>
      </c>
      <c r="I362">
        <f t="shared" si="27"/>
        <v>-2.0757547319134921E-2</v>
      </c>
      <c r="J362">
        <v>290.72559999999999</v>
      </c>
      <c r="K362">
        <f>-11.51563</f>
        <v>-11.51563</v>
      </c>
      <c r="L362">
        <f t="shared" si="29"/>
        <v>-3.9609962108600003E-2</v>
      </c>
      <c r="M362">
        <v>118.8681</v>
      </c>
      <c r="N362">
        <f>-3.448064</f>
        <v>-3.448064</v>
      </c>
      <c r="O362">
        <f t="shared" si="28"/>
        <v>-2.9007479719117241E-2</v>
      </c>
    </row>
    <row r="363" spans="1:15" x14ac:dyDescent="0.25">
      <c r="A363">
        <v>5478.87</v>
      </c>
      <c r="B363">
        <f>-268.5696</f>
        <v>-268.56959999999998</v>
      </c>
      <c r="C363">
        <f t="shared" si="25"/>
        <v>-4.9019159060171166E-2</v>
      </c>
      <c r="D363">
        <v>166.29560000000001</v>
      </c>
      <c r="E363">
        <f>-11.71562</f>
        <v>-11.715619999999999</v>
      </c>
      <c r="F363">
        <f t="shared" si="26"/>
        <v>-7.0450571151611949E-2</v>
      </c>
      <c r="G363">
        <v>73.30686</v>
      </c>
      <c r="H363">
        <f>-1.946866</f>
        <v>-1.946866</v>
      </c>
      <c r="I363">
        <f t="shared" si="27"/>
        <v>-2.6557760078661122E-2</v>
      </c>
      <c r="J363">
        <v>278.98509999999999</v>
      </c>
      <c r="K363">
        <f>-11.7951</f>
        <v>-11.7951</v>
      </c>
      <c r="L363">
        <f t="shared" si="29"/>
        <v>-4.2278601975517686E-2</v>
      </c>
      <c r="M363">
        <v>115.4791</v>
      </c>
      <c r="N363">
        <f>-6.73912</f>
        <v>-6.7391199999999998</v>
      </c>
      <c r="O363">
        <f t="shared" si="28"/>
        <v>-5.83579193118062E-2</v>
      </c>
    </row>
    <row r="364" spans="1:15" x14ac:dyDescent="0.25">
      <c r="A364">
        <v>5212.4639999999999</v>
      </c>
      <c r="B364">
        <v>67.006360000000001</v>
      </c>
      <c r="C364">
        <f t="shared" si="25"/>
        <v>1.2855025953176847E-2</v>
      </c>
      <c r="D364">
        <v>155.1147</v>
      </c>
      <c r="E364">
        <v>1.1553059999999999</v>
      </c>
      <c r="F364">
        <f t="shared" si="26"/>
        <v>7.448075520888736E-3</v>
      </c>
      <c r="G364">
        <v>71.422089999999997</v>
      </c>
      <c r="H364">
        <v>1.7879119999999999</v>
      </c>
      <c r="I364">
        <f t="shared" si="27"/>
        <v>2.5033039498004048E-2</v>
      </c>
      <c r="J364">
        <v>266.97480000000002</v>
      </c>
      <c r="K364">
        <f>-2.884778</f>
        <v>-2.8847779999999998</v>
      </c>
      <c r="L364">
        <f t="shared" si="29"/>
        <v>-1.0805431823527912E-2</v>
      </c>
      <c r="M364">
        <v>108.7196</v>
      </c>
      <c r="N364">
        <v>0.77041559999999998</v>
      </c>
      <c r="O364">
        <f t="shared" si="28"/>
        <v>7.0862622746956389E-3</v>
      </c>
    </row>
    <row r="365" spans="1:15" x14ac:dyDescent="0.25">
      <c r="A365">
        <v>5282.893</v>
      </c>
      <c r="B365">
        <f>-11.14263</f>
        <v>-11.14263</v>
      </c>
      <c r="C365">
        <f t="shared" si="25"/>
        <v>-2.1091909300453371E-3</v>
      </c>
      <c r="D365">
        <v>156.8648</v>
      </c>
      <c r="E365">
        <v>1.635186</v>
      </c>
      <c r="F365">
        <f t="shared" si="26"/>
        <v>1.0424174193318068E-2</v>
      </c>
      <c r="G365">
        <v>73.266980000000004</v>
      </c>
      <c r="H365">
        <f>-1.146976</f>
        <v>-1.146976</v>
      </c>
      <c r="I365">
        <f t="shared" si="27"/>
        <v>-1.5654746517462573E-2</v>
      </c>
      <c r="J365">
        <v>263.87729999999999</v>
      </c>
      <c r="K365">
        <v>0.2427252</v>
      </c>
      <c r="L365">
        <f t="shared" si="29"/>
        <v>9.1984115344518084E-4</v>
      </c>
      <c r="M365">
        <v>109.461</v>
      </c>
      <c r="N365">
        <v>0.20896139999999999</v>
      </c>
      <c r="O365">
        <f t="shared" si="28"/>
        <v>1.9090032066215363E-3</v>
      </c>
    </row>
    <row r="366" spans="1:15" x14ac:dyDescent="0.25">
      <c r="A366">
        <v>5275.9189999999999</v>
      </c>
      <c r="B366">
        <v>8.9403469999999992</v>
      </c>
      <c r="C366">
        <f t="shared" si="25"/>
        <v>1.6945572894504254E-3</v>
      </c>
      <c r="D366">
        <v>159.06309999999999</v>
      </c>
      <c r="E366">
        <f>-1.773095</f>
        <v>-1.7730950000000001</v>
      </c>
      <c r="F366">
        <f t="shared" si="26"/>
        <v>-1.1147117087495467E-2</v>
      </c>
      <c r="G366">
        <v>72.179990000000004</v>
      </c>
      <c r="H366">
        <f>-2.399988</f>
        <v>-2.399988</v>
      </c>
      <c r="I366">
        <f t="shared" si="27"/>
        <v>-3.3250046169305367E-2</v>
      </c>
      <c r="J366">
        <v>263.90730000000002</v>
      </c>
      <c r="K366">
        <f>-8.35725</f>
        <v>-8.3572500000000005</v>
      </c>
      <c r="L366">
        <f t="shared" si="29"/>
        <v>-3.1667369564994982E-2</v>
      </c>
      <c r="M366">
        <v>109.72029999999999</v>
      </c>
      <c r="N366">
        <v>0.56971289999999997</v>
      </c>
      <c r="O366">
        <f t="shared" si="28"/>
        <v>5.1924110670495795E-3</v>
      </c>
    </row>
    <row r="367" spans="1:15" x14ac:dyDescent="0.25">
      <c r="A367">
        <v>5285.652</v>
      </c>
      <c r="B367">
        <f>-37.92244</f>
        <v>-37.922440000000002</v>
      </c>
      <c r="C367">
        <f t="shared" si="25"/>
        <v>-7.1746002196133992E-3</v>
      </c>
      <c r="D367">
        <v>157.8698</v>
      </c>
      <c r="E367">
        <f>-2.699844</f>
        <v>-2.6998440000000001</v>
      </c>
      <c r="F367">
        <f t="shared" si="26"/>
        <v>-1.7101712930528829E-2</v>
      </c>
      <c r="G367">
        <v>69.846450000000004</v>
      </c>
      <c r="H367">
        <f>-1.896453</f>
        <v>-1.8964529999999999</v>
      </c>
      <c r="I367">
        <f t="shared" si="27"/>
        <v>-2.7151745006367536E-2</v>
      </c>
      <c r="J367">
        <v>255.3441</v>
      </c>
      <c r="K367">
        <f>-17.77415</f>
        <v>-17.774149999999999</v>
      </c>
      <c r="L367">
        <f t="shared" si="29"/>
        <v>-6.9608618331106917E-2</v>
      </c>
      <c r="M367">
        <v>110.4147</v>
      </c>
      <c r="N367">
        <f>-2.28469</f>
        <v>-2.2846899999999999</v>
      </c>
      <c r="O367">
        <f t="shared" si="28"/>
        <v>-2.0691900625550763E-2</v>
      </c>
    </row>
    <row r="368" spans="1:15" x14ac:dyDescent="0.25">
      <c r="A368">
        <v>5239.3890000000001</v>
      </c>
      <c r="B368">
        <v>111.52160000000001</v>
      </c>
      <c r="C368">
        <f t="shared" si="25"/>
        <v>2.1285230014415804E-2</v>
      </c>
      <c r="D368">
        <v>155.73429999999999</v>
      </c>
      <c r="E368">
        <v>6.4557219999999997</v>
      </c>
      <c r="F368">
        <f t="shared" si="26"/>
        <v>4.1453437039881386E-2</v>
      </c>
      <c r="G368">
        <v>68.021510000000006</v>
      </c>
      <c r="H368">
        <v>6.2784909999999998</v>
      </c>
      <c r="I368">
        <f t="shared" si="27"/>
        <v>9.230155284703323E-2</v>
      </c>
      <c r="J368">
        <v>237.37860000000001</v>
      </c>
      <c r="K368">
        <v>30.611360000000001</v>
      </c>
      <c r="L368">
        <f t="shared" si="29"/>
        <v>0.1289558536447683</v>
      </c>
      <c r="M368">
        <v>108.3442</v>
      </c>
      <c r="N368">
        <v>3.4857749999999998</v>
      </c>
      <c r="O368">
        <f t="shared" si="28"/>
        <v>3.2173157400211545E-2</v>
      </c>
    </row>
    <row r="369" spans="1:15" x14ac:dyDescent="0.25">
      <c r="A369">
        <v>5235.4179999999997</v>
      </c>
      <c r="B369">
        <v>167.0016</v>
      </c>
      <c r="C369">
        <f t="shared" si="25"/>
        <v>3.1898427212497645E-2</v>
      </c>
      <c r="D369">
        <v>156.31489999999999</v>
      </c>
      <c r="E369">
        <v>4.5350989999999998</v>
      </c>
      <c r="F369">
        <f t="shared" si="26"/>
        <v>2.901258293355272E-2</v>
      </c>
      <c r="G369">
        <v>68.092820000000003</v>
      </c>
      <c r="H369">
        <v>5.5871789999999999</v>
      </c>
      <c r="I369">
        <f t="shared" si="27"/>
        <v>8.2052395538912914E-2</v>
      </c>
      <c r="J369">
        <v>237.1874</v>
      </c>
      <c r="K369">
        <v>34.78257</v>
      </c>
      <c r="L369">
        <f t="shared" si="29"/>
        <v>0.14664594324993654</v>
      </c>
      <c r="M369">
        <v>108.5479</v>
      </c>
      <c r="N369">
        <v>8.6521019999999993</v>
      </c>
      <c r="O369">
        <f t="shared" si="28"/>
        <v>7.9707686652620638E-2</v>
      </c>
    </row>
    <row r="370" spans="1:15" x14ac:dyDescent="0.25">
      <c r="A370">
        <v>5242.7510000000002</v>
      </c>
      <c r="B370">
        <v>262.79899999999998</v>
      </c>
      <c r="C370">
        <f t="shared" si="25"/>
        <v>5.0126164679573752E-2</v>
      </c>
      <c r="D370">
        <v>156.87950000000001</v>
      </c>
      <c r="E370">
        <v>5.2005249999999998</v>
      </c>
      <c r="F370">
        <f t="shared" si="26"/>
        <v>3.3149806061340069E-2</v>
      </c>
      <c r="G370">
        <v>68.163929999999993</v>
      </c>
      <c r="H370">
        <v>5.5960640000000001</v>
      </c>
      <c r="I370">
        <f t="shared" si="27"/>
        <v>8.2097144340122413E-2</v>
      </c>
      <c r="J370">
        <v>236.99639999999999</v>
      </c>
      <c r="K370">
        <v>33.15363</v>
      </c>
      <c r="L370">
        <f t="shared" si="29"/>
        <v>0.13989085910165724</v>
      </c>
      <c r="M370">
        <v>108.7517</v>
      </c>
      <c r="N370">
        <v>8.4882720000000003</v>
      </c>
      <c r="O370">
        <f t="shared" si="28"/>
        <v>7.8051855741105652E-2</v>
      </c>
    </row>
    <row r="371" spans="1:15" x14ac:dyDescent="0.25">
      <c r="A371">
        <v>5247.2740000000003</v>
      </c>
      <c r="B371">
        <v>521.92539999999997</v>
      </c>
      <c r="C371">
        <f t="shared" si="25"/>
        <v>9.9466008445528081E-2</v>
      </c>
      <c r="D371">
        <v>157.37020000000001</v>
      </c>
      <c r="E371" s="10">
        <v>10.5198</v>
      </c>
      <c r="F371">
        <f t="shared" si="26"/>
        <v>6.6847471757677121E-2</v>
      </c>
      <c r="G371">
        <v>68.234859999999998</v>
      </c>
      <c r="H371">
        <v>11.075150000000001</v>
      </c>
      <c r="I371">
        <f t="shared" si="27"/>
        <v>0.16230926538136081</v>
      </c>
      <c r="J371">
        <v>236.80549999999999</v>
      </c>
      <c r="K371">
        <v>56.074530000000003</v>
      </c>
      <c r="L371">
        <f t="shared" si="29"/>
        <v>0.23679572476146038</v>
      </c>
      <c r="M371">
        <v>108.9473</v>
      </c>
      <c r="N371">
        <v>12.082689999999999</v>
      </c>
      <c r="O371">
        <f t="shared" si="28"/>
        <v>0.11090398752424337</v>
      </c>
    </row>
    <row r="372" spans="1:15" x14ac:dyDescent="0.25">
      <c r="A372">
        <v>5252.3180000000002</v>
      </c>
      <c r="B372">
        <v>578.75149999999996</v>
      </c>
      <c r="C372">
        <f t="shared" si="25"/>
        <v>0.1101897295632138</v>
      </c>
      <c r="D372">
        <v>157.7166</v>
      </c>
      <c r="E372">
        <v>6.3033989999999998</v>
      </c>
      <c r="F372">
        <f t="shared" si="26"/>
        <v>3.9966617337680373E-2</v>
      </c>
      <c r="G372">
        <v>68.305580000000006</v>
      </c>
      <c r="H372">
        <v>9.6944230000000005</v>
      </c>
      <c r="I372">
        <f t="shared" si="27"/>
        <v>0.14192724811062288</v>
      </c>
      <c r="J372">
        <v>236.6147</v>
      </c>
      <c r="K372">
        <v>54.735280000000003</v>
      </c>
      <c r="L372">
        <f t="shared" si="29"/>
        <v>0.23132662509979304</v>
      </c>
      <c r="M372">
        <v>109.1876</v>
      </c>
      <c r="N372">
        <v>11.53238</v>
      </c>
      <c r="O372">
        <f t="shared" si="28"/>
        <v>0.10561986892284471</v>
      </c>
    </row>
    <row r="373" spans="1:15" x14ac:dyDescent="0.25">
      <c r="A373">
        <v>5256.9719999999998</v>
      </c>
      <c r="B373">
        <v>534.71849999999995</v>
      </c>
      <c r="C373">
        <f t="shared" si="25"/>
        <v>0.10171606392425145</v>
      </c>
      <c r="D373">
        <v>158.0787</v>
      </c>
      <c r="E373">
        <v>5.261279</v>
      </c>
      <c r="F373">
        <f t="shared" si="26"/>
        <v>3.3282656044109675E-2</v>
      </c>
      <c r="G373">
        <v>68.376109999999997</v>
      </c>
      <c r="H373">
        <v>7.6538959999999996</v>
      </c>
      <c r="I373">
        <f t="shared" si="27"/>
        <v>0.11193816085764458</v>
      </c>
      <c r="J373">
        <v>236.42410000000001</v>
      </c>
      <c r="K373">
        <v>57.535870000000003</v>
      </c>
      <c r="L373">
        <f t="shared" si="29"/>
        <v>0.24335873542502648</v>
      </c>
      <c r="M373">
        <v>109.4281</v>
      </c>
      <c r="N373">
        <v>9.8619129999999995</v>
      </c>
      <c r="O373">
        <f t="shared" si="28"/>
        <v>9.0122308620911806E-2</v>
      </c>
    </row>
    <row r="374" spans="1:15" x14ac:dyDescent="0.25">
      <c r="A374">
        <v>5263.4650000000001</v>
      </c>
      <c r="B374">
        <v>482.13529999999997</v>
      </c>
      <c r="C374">
        <f t="shared" si="25"/>
        <v>9.1600362118870363E-2</v>
      </c>
      <c r="D374">
        <v>158.46289999999999</v>
      </c>
      <c r="E374">
        <v>13.9671</v>
      </c>
      <c r="F374">
        <f t="shared" si="26"/>
        <v>8.8141135874706331E-2</v>
      </c>
      <c r="G374">
        <v>68.446430000000007</v>
      </c>
      <c r="H374">
        <v>6.5335640000000001</v>
      </c>
      <c r="I374">
        <f t="shared" si="27"/>
        <v>9.545514645541045E-2</v>
      </c>
      <c r="J374">
        <v>236.2337</v>
      </c>
      <c r="K374">
        <v>51.446309999999997</v>
      </c>
      <c r="L374">
        <f t="shared" si="29"/>
        <v>0.21777718420360853</v>
      </c>
      <c r="M374">
        <v>109.66889999999999</v>
      </c>
      <c r="N374">
        <v>10.73109</v>
      </c>
      <c r="O374">
        <f t="shared" si="28"/>
        <v>9.7849891810713893E-2</v>
      </c>
    </row>
    <row r="375" spans="1:15" x14ac:dyDescent="0.25">
      <c r="A375">
        <v>5270.5829999999996</v>
      </c>
      <c r="B375">
        <v>578.89769999999999</v>
      </c>
      <c r="C375">
        <f t="shared" si="25"/>
        <v>0.10983561021617533</v>
      </c>
      <c r="D375">
        <v>158.8271</v>
      </c>
      <c r="E375">
        <v>11.072929999999999</v>
      </c>
      <c r="F375">
        <f t="shared" si="26"/>
        <v>6.9716880809383278E-2</v>
      </c>
      <c r="G375">
        <v>68.516570000000002</v>
      </c>
      <c r="H375">
        <v>6.133426</v>
      </c>
      <c r="I375">
        <f t="shared" si="27"/>
        <v>8.9517411627581478E-2</v>
      </c>
      <c r="J375">
        <v>236.04339999999999</v>
      </c>
      <c r="K375">
        <v>50.506599999999999</v>
      </c>
      <c r="L375">
        <f t="shared" si="29"/>
        <v>0.21397166792208552</v>
      </c>
      <c r="M375">
        <v>109.9101</v>
      </c>
      <c r="N375">
        <v>7.5999189999999999</v>
      </c>
      <c r="O375">
        <f t="shared" si="28"/>
        <v>6.9146684426635949E-2</v>
      </c>
    </row>
    <row r="376" spans="1:15" x14ac:dyDescent="0.25">
      <c r="A376">
        <v>5278.1530000000002</v>
      </c>
      <c r="B376">
        <v>704.16719999999998</v>
      </c>
      <c r="C376">
        <f t="shared" si="25"/>
        <v>0.13341166881672434</v>
      </c>
      <c r="D376">
        <v>159.16050000000001</v>
      </c>
      <c r="E376">
        <v>11.789529999999999</v>
      </c>
      <c r="F376">
        <f t="shared" si="26"/>
        <v>7.4073215402062687E-2</v>
      </c>
      <c r="G376">
        <v>68.586519999999993</v>
      </c>
      <c r="H376">
        <v>6.003482</v>
      </c>
      <c r="I376">
        <f t="shared" si="27"/>
        <v>8.753151493908716E-2</v>
      </c>
      <c r="J376">
        <v>235.85329999999999</v>
      </c>
      <c r="K376">
        <v>50.616729999999997</v>
      </c>
      <c r="L376">
        <f t="shared" si="29"/>
        <v>0.21461107391755807</v>
      </c>
      <c r="M376">
        <v>110.15179999999999</v>
      </c>
      <c r="N376">
        <v>7.8682249999999998</v>
      </c>
      <c r="O376">
        <f t="shared" si="28"/>
        <v>7.1430743755435677E-2</v>
      </c>
    </row>
    <row r="377" spans="1:15" x14ac:dyDescent="0.25">
      <c r="A377">
        <v>5285.6880000000001</v>
      </c>
      <c r="B377">
        <v>890.13149999999996</v>
      </c>
      <c r="C377">
        <f t="shared" si="25"/>
        <v>0.16840409422576588</v>
      </c>
      <c r="D377">
        <v>159.49610000000001</v>
      </c>
      <c r="E377" s="7">
        <v>10.8139</v>
      </c>
      <c r="F377">
        <f t="shared" si="26"/>
        <v>6.7800403897023187E-2</v>
      </c>
      <c r="G377">
        <v>68.656270000000006</v>
      </c>
      <c r="H377">
        <v>5.5337310000000004</v>
      </c>
      <c r="I377">
        <f t="shared" si="27"/>
        <v>8.0600519078592531E-2</v>
      </c>
      <c r="J377">
        <v>235.66329999999999</v>
      </c>
      <c r="K377">
        <v>48.536709999999999</v>
      </c>
      <c r="L377">
        <f t="shared" si="29"/>
        <v>0.20595786446171296</v>
      </c>
      <c r="M377">
        <v>110.3931</v>
      </c>
      <c r="N377">
        <v>1.986855</v>
      </c>
      <c r="O377">
        <f t="shared" si="28"/>
        <v>1.7997999874992187E-2</v>
      </c>
    </row>
    <row r="378" spans="1:15" x14ac:dyDescent="0.25">
      <c r="A378">
        <v>5293.3130000000001</v>
      </c>
      <c r="B378">
        <v>1086.356</v>
      </c>
      <c r="C378">
        <f t="shared" si="25"/>
        <v>0.2052317707265752</v>
      </c>
      <c r="D378">
        <v>159.83410000000001</v>
      </c>
      <c r="E378">
        <v>13.305870000000001</v>
      </c>
      <c r="F378">
        <f t="shared" si="26"/>
        <v>8.3248005275470008E-2</v>
      </c>
      <c r="G378">
        <v>68.725830000000002</v>
      </c>
      <c r="H378">
        <v>8.4341740000000005</v>
      </c>
      <c r="I378">
        <f t="shared" si="27"/>
        <v>0.12272203915180072</v>
      </c>
      <c r="J378">
        <v>235.4735</v>
      </c>
      <c r="K378">
        <v>52.316540000000003</v>
      </c>
      <c r="L378">
        <f t="shared" si="29"/>
        <v>0.22217591363784037</v>
      </c>
      <c r="M378">
        <v>110.63420000000001</v>
      </c>
      <c r="N378">
        <v>2.185819</v>
      </c>
      <c r="O378">
        <f t="shared" si="28"/>
        <v>1.9757172736820983E-2</v>
      </c>
    </row>
    <row r="379" spans="1:15" x14ac:dyDescent="0.25">
      <c r="A379">
        <v>5301.0079999999998</v>
      </c>
      <c r="B379">
        <v>1902.502</v>
      </c>
      <c r="C379">
        <f t="shared" si="25"/>
        <v>0.35889438386057898</v>
      </c>
      <c r="D379">
        <v>160.17429999999999</v>
      </c>
      <c r="E379">
        <v>33.985660000000003</v>
      </c>
      <c r="F379">
        <f t="shared" si="26"/>
        <v>0.21217923224886892</v>
      </c>
      <c r="G379">
        <v>68.795190000000005</v>
      </c>
      <c r="H379">
        <v>20.744810000000001</v>
      </c>
      <c r="I379">
        <f t="shared" si="27"/>
        <v>0.30154448297911524</v>
      </c>
      <c r="J379">
        <v>235.28380000000001</v>
      </c>
      <c r="K379">
        <v>120.9862</v>
      </c>
      <c r="L379">
        <f t="shared" si="29"/>
        <v>0.51421389827943953</v>
      </c>
      <c r="M379">
        <v>110.8749</v>
      </c>
      <c r="N379">
        <v>13.24513</v>
      </c>
      <c r="O379">
        <f t="shared" si="28"/>
        <v>0.11946013029098561</v>
      </c>
    </row>
    <row r="380" spans="1:15" x14ac:dyDescent="0.25">
      <c r="A380">
        <v>5308.7929999999997</v>
      </c>
      <c r="B380">
        <v>1662.3869999999999</v>
      </c>
      <c r="C380">
        <f t="shared" si="25"/>
        <v>0.31313841018099597</v>
      </c>
      <c r="D380">
        <v>160.51580000000001</v>
      </c>
      <c r="E380">
        <v>26.904209999999999</v>
      </c>
      <c r="F380">
        <f t="shared" si="26"/>
        <v>0.16761097661414015</v>
      </c>
      <c r="G380">
        <v>68.864360000000005</v>
      </c>
      <c r="H380">
        <v>15.76563</v>
      </c>
      <c r="I380">
        <f t="shared" si="27"/>
        <v>0.2289374358521592</v>
      </c>
      <c r="J380">
        <v>235.0943</v>
      </c>
      <c r="K380">
        <v>118.9357</v>
      </c>
      <c r="L380">
        <f t="shared" si="29"/>
        <v>0.50590635332290057</v>
      </c>
      <c r="M380">
        <v>111.1152</v>
      </c>
      <c r="N380">
        <v>13.1548</v>
      </c>
      <c r="O380">
        <f t="shared" si="28"/>
        <v>0.1183888432905669</v>
      </c>
    </row>
    <row r="381" spans="1:15" x14ac:dyDescent="0.25">
      <c r="A381">
        <v>5316.5879999999997</v>
      </c>
      <c r="B381">
        <v>2491.2919999999999</v>
      </c>
      <c r="C381">
        <f t="shared" si="25"/>
        <v>0.4685885007452148</v>
      </c>
      <c r="D381">
        <v>160.85669999999999</v>
      </c>
      <c r="E381">
        <v>35.883279999999999</v>
      </c>
      <c r="F381">
        <f t="shared" si="26"/>
        <v>0.22307606708331082</v>
      </c>
      <c r="G381">
        <v>68.933350000000004</v>
      </c>
      <c r="H381">
        <v>19.11665</v>
      </c>
      <c r="I381">
        <f t="shared" si="27"/>
        <v>0.2773207743421725</v>
      </c>
      <c r="J381">
        <v>234.9049</v>
      </c>
      <c r="K381">
        <v>150.46510000000001</v>
      </c>
      <c r="L381">
        <f t="shared" si="29"/>
        <v>0.64053623402491822</v>
      </c>
      <c r="M381">
        <v>111.3552</v>
      </c>
      <c r="N381">
        <v>20.414850000000001</v>
      </c>
      <c r="O381">
        <f t="shared" si="28"/>
        <v>0.18333090865985605</v>
      </c>
    </row>
    <row r="382" spans="1:15" x14ac:dyDescent="0.25">
      <c r="A382">
        <v>5324.3670000000002</v>
      </c>
      <c r="B382">
        <v>2665.0030000000002</v>
      </c>
      <c r="C382">
        <f t="shared" si="25"/>
        <v>0.500529546516985</v>
      </c>
      <c r="D382">
        <v>161.19730000000001</v>
      </c>
      <c r="E382">
        <v>55.812669999999997</v>
      </c>
      <c r="F382">
        <f t="shared" si="26"/>
        <v>0.34623824344452414</v>
      </c>
      <c r="G382">
        <v>69.002139999999997</v>
      </c>
      <c r="H382">
        <v>22.657859999999999</v>
      </c>
      <c r="I382">
        <f t="shared" si="27"/>
        <v>0.32836459854723349</v>
      </c>
      <c r="J382">
        <v>234.7157</v>
      </c>
      <c r="K382">
        <v>154.40430000000001</v>
      </c>
      <c r="L382">
        <f t="shared" si="29"/>
        <v>0.65783541535568357</v>
      </c>
      <c r="M382">
        <v>111.5947</v>
      </c>
      <c r="N382">
        <v>29.855270000000001</v>
      </c>
      <c r="O382">
        <f t="shared" si="28"/>
        <v>0.267533045924224</v>
      </c>
    </row>
    <row r="383" spans="1:15" x14ac:dyDescent="0.25">
      <c r="A383">
        <v>5332.1090000000004</v>
      </c>
      <c r="B383">
        <v>2862.3910000000001</v>
      </c>
      <c r="C383">
        <f t="shared" si="25"/>
        <v>0.53682154659629044</v>
      </c>
      <c r="D383">
        <v>161.53790000000001</v>
      </c>
      <c r="E383">
        <v>85.402109999999993</v>
      </c>
      <c r="F383">
        <f t="shared" si="26"/>
        <v>0.52868156636925445</v>
      </c>
      <c r="G383">
        <v>69.070750000000004</v>
      </c>
      <c r="H383">
        <v>32.49926</v>
      </c>
      <c r="I383">
        <f t="shared" si="27"/>
        <v>0.47052131329108193</v>
      </c>
      <c r="J383">
        <v>234.5266</v>
      </c>
      <c r="K383">
        <v>167.9134</v>
      </c>
      <c r="L383">
        <f t="shared" si="29"/>
        <v>0.71596739985997326</v>
      </c>
      <c r="M383">
        <v>111.8339</v>
      </c>
      <c r="N383">
        <v>40.516069999999999</v>
      </c>
      <c r="O383">
        <f t="shared" si="28"/>
        <v>0.36228791091073459</v>
      </c>
    </row>
    <row r="384" spans="1:15" x14ac:dyDescent="0.25">
      <c r="A384">
        <v>5339.8130000000001</v>
      </c>
      <c r="B384">
        <v>2547.1170000000002</v>
      </c>
      <c r="C384">
        <f t="shared" si="25"/>
        <v>0.47700490635158949</v>
      </c>
      <c r="D384">
        <v>161.87809999999999</v>
      </c>
      <c r="E384">
        <v>101.97190000000001</v>
      </c>
      <c r="F384">
        <f t="shared" si="26"/>
        <v>0.62993017585454747</v>
      </c>
      <c r="G384">
        <v>69.139160000000004</v>
      </c>
      <c r="H384">
        <v>26.490839999999999</v>
      </c>
      <c r="I384">
        <f t="shared" si="27"/>
        <v>0.38315247104535255</v>
      </c>
      <c r="J384">
        <v>234.33770000000001</v>
      </c>
      <c r="K384">
        <v>164.34229999999999</v>
      </c>
      <c r="L384">
        <f t="shared" si="29"/>
        <v>0.70130542375383897</v>
      </c>
      <c r="M384">
        <v>112.0728</v>
      </c>
      <c r="N384">
        <v>36.707239999999999</v>
      </c>
      <c r="O384">
        <f t="shared" si="28"/>
        <v>0.32753031957798856</v>
      </c>
    </row>
    <row r="385" spans="1:23" x14ac:dyDescent="0.25">
      <c r="A385">
        <v>5347.4750000000004</v>
      </c>
      <c r="B385">
        <v>1994.1849999999999</v>
      </c>
      <c r="C385">
        <f t="shared" si="25"/>
        <v>0.3729208645201707</v>
      </c>
      <c r="D385">
        <v>162.21770000000001</v>
      </c>
      <c r="E385">
        <v>81.692250000000001</v>
      </c>
      <c r="F385">
        <f t="shared" si="26"/>
        <v>0.50359640162571651</v>
      </c>
      <c r="G385">
        <v>69.207380000000001</v>
      </c>
      <c r="H385">
        <v>19.802620000000001</v>
      </c>
      <c r="I385">
        <f t="shared" si="27"/>
        <v>0.2861345134001605</v>
      </c>
      <c r="J385">
        <v>234.1489</v>
      </c>
      <c r="K385">
        <v>130.30109999999999</v>
      </c>
      <c r="L385">
        <f t="shared" si="29"/>
        <v>0.5564882004570596</v>
      </c>
      <c r="M385">
        <v>112.3112</v>
      </c>
      <c r="N385">
        <v>25.828800000000001</v>
      </c>
      <c r="O385">
        <f t="shared" si="28"/>
        <v>0.22997528296376499</v>
      </c>
    </row>
    <row r="386" spans="1:23" x14ac:dyDescent="0.25">
      <c r="A386">
        <v>5355.0889999999999</v>
      </c>
      <c r="B386">
        <v>1912.8710000000001</v>
      </c>
      <c r="C386">
        <f t="shared" si="25"/>
        <v>0.35720620142821158</v>
      </c>
      <c r="D386">
        <v>162.55670000000001</v>
      </c>
      <c r="E386">
        <v>71.893280000000004</v>
      </c>
      <c r="F386">
        <f t="shared" si="26"/>
        <v>0.44226586784795707</v>
      </c>
      <c r="G386">
        <v>69.275409999999994</v>
      </c>
      <c r="H386">
        <v>17.404579999999999</v>
      </c>
      <c r="I386">
        <f t="shared" si="27"/>
        <v>0.25123748816499247</v>
      </c>
      <c r="J386">
        <v>233.96029999999999</v>
      </c>
      <c r="K386">
        <v>123.3497</v>
      </c>
      <c r="L386">
        <f t="shared" si="29"/>
        <v>0.52722491807370742</v>
      </c>
      <c r="M386">
        <v>112.5493</v>
      </c>
      <c r="N386">
        <v>27.850729999999999</v>
      </c>
      <c r="O386">
        <f t="shared" si="28"/>
        <v>0.24745360477586265</v>
      </c>
    </row>
    <row r="387" spans="1:23" x14ac:dyDescent="0.25">
      <c r="A387">
        <v>5362.6490000000003</v>
      </c>
      <c r="B387">
        <v>2834.2710000000002</v>
      </c>
      <c r="C387">
        <f t="shared" si="25"/>
        <v>0.52852069937823642</v>
      </c>
      <c r="D387">
        <v>162.89510000000001</v>
      </c>
      <c r="E387">
        <v>98.374899999999997</v>
      </c>
      <c r="F387">
        <f t="shared" si="26"/>
        <v>0.60391564878255999</v>
      </c>
      <c r="G387">
        <v>69.343260000000001</v>
      </c>
      <c r="H387">
        <v>25.996739999999999</v>
      </c>
      <c r="I387">
        <f t="shared" si="27"/>
        <v>0.3748993052821572</v>
      </c>
      <c r="J387">
        <v>233.77189999999999</v>
      </c>
      <c r="K387">
        <v>187.60810000000001</v>
      </c>
      <c r="L387">
        <f t="shared" si="29"/>
        <v>0.80252630876508257</v>
      </c>
      <c r="M387">
        <v>112.78700000000001</v>
      </c>
      <c r="N387">
        <v>57.043030000000002</v>
      </c>
      <c r="O387">
        <f t="shared" si="28"/>
        <v>0.50575890838483162</v>
      </c>
    </row>
    <row r="388" spans="1:23" x14ac:dyDescent="0.25">
      <c r="A388">
        <v>5370.1540000000005</v>
      </c>
      <c r="B388">
        <v>2607.8159999999998</v>
      </c>
      <c r="C388">
        <f t="shared" ref="C388:C390" si="30">B388/A388</f>
        <v>0.48561288931378871</v>
      </c>
      <c r="D388">
        <v>163.2329</v>
      </c>
      <c r="E388">
        <v>88.417069999999995</v>
      </c>
      <c r="F388">
        <f t="shared" ref="F388:F390" si="31">E388/D388</f>
        <v>0.54166206689950369</v>
      </c>
      <c r="G388">
        <v>69.410929999999993</v>
      </c>
      <c r="H388">
        <v>22.159079999999999</v>
      </c>
      <c r="I388">
        <f t="shared" ref="I388:I390" si="32">H388/G388</f>
        <v>0.31924482210510652</v>
      </c>
      <c r="J388">
        <v>233.58359999999999</v>
      </c>
      <c r="K388">
        <v>178.93639999999999</v>
      </c>
      <c r="L388">
        <f t="shared" si="29"/>
        <v>0.766048643826022</v>
      </c>
      <c r="M388">
        <v>113.0243</v>
      </c>
      <c r="N388">
        <v>54.715710000000001</v>
      </c>
      <c r="O388">
        <f t="shared" ref="O388:O390" si="33">N388/M388</f>
        <v>0.48410571885868792</v>
      </c>
    </row>
    <row r="389" spans="1:23" x14ac:dyDescent="0.25">
      <c r="A389">
        <v>5377.6019999999999</v>
      </c>
      <c r="B389">
        <v>2578.6880000000001</v>
      </c>
      <c r="C389">
        <f t="shared" si="30"/>
        <v>0.47952377286381553</v>
      </c>
      <c r="D389">
        <v>163.5702</v>
      </c>
      <c r="E389">
        <v>91.429770000000005</v>
      </c>
      <c r="F389">
        <f t="shared" si="31"/>
        <v>0.55896349090482256</v>
      </c>
      <c r="G389">
        <v>69.478390000000005</v>
      </c>
      <c r="H389">
        <v>22.031600000000001</v>
      </c>
      <c r="I389">
        <f t="shared" si="32"/>
        <v>0.31710003642859313</v>
      </c>
      <c r="J389">
        <v>233.3954</v>
      </c>
      <c r="K389">
        <v>183.91460000000001</v>
      </c>
      <c r="L389">
        <f t="shared" ref="L389:L390" si="34">K389/J389</f>
        <v>0.78799582168286098</v>
      </c>
      <c r="M389">
        <v>113.2612</v>
      </c>
      <c r="N389">
        <v>53.388759999999998</v>
      </c>
      <c r="O389">
        <f t="shared" si="33"/>
        <v>0.47137731191264082</v>
      </c>
    </row>
    <row r="390" spans="1:23" x14ac:dyDescent="0.25">
      <c r="A390">
        <v>5384.991</v>
      </c>
      <c r="B390">
        <v>2292.279</v>
      </c>
      <c r="C390">
        <f t="shared" si="30"/>
        <v>0.42567926297369857</v>
      </c>
      <c r="D390">
        <v>163.90700000000001</v>
      </c>
      <c r="E390">
        <v>80.763009999999994</v>
      </c>
      <c r="F390">
        <f t="shared" si="31"/>
        <v>0.49273679586594832</v>
      </c>
      <c r="G390">
        <v>69.545680000000004</v>
      </c>
      <c r="H390">
        <v>18.654319999999998</v>
      </c>
      <c r="I390">
        <f t="shared" si="32"/>
        <v>0.26823118272766905</v>
      </c>
      <c r="J390">
        <v>233.20740000000001</v>
      </c>
      <c r="K390">
        <v>158.3126</v>
      </c>
      <c r="L390">
        <f t="shared" si="34"/>
        <v>0.67884895590791716</v>
      </c>
      <c r="M390">
        <v>113.4978</v>
      </c>
      <c r="N390">
        <v>41.302190000000003</v>
      </c>
      <c r="O390">
        <f t="shared" si="33"/>
        <v>0.36390300076301041</v>
      </c>
    </row>
    <row r="391" spans="1:23" x14ac:dyDescent="0.25">
      <c r="C391">
        <f>AVERAGE(C3:C390)</f>
        <v>1.6158082999451623E-2</v>
      </c>
      <c r="F391">
        <f>AVERAGE(F3:F390)</f>
        <v>1.2410756426913951E-2</v>
      </c>
      <c r="I391">
        <f t="shared" ref="I391:L391" si="35">AVERAGE(I3:I390)</f>
        <v>1.1392726528272317E-2</v>
      </c>
      <c r="L391">
        <f t="shared" si="35"/>
        <v>2.4416473004576243E-2</v>
      </c>
      <c r="O391">
        <f t="shared" ref="O391" si="36">AVERAGE(O3:O390)</f>
        <v>9.8068344981492722E-3</v>
      </c>
    </row>
    <row r="392" spans="1:23" x14ac:dyDescent="0.25">
      <c r="C392">
        <f>AVERAGE(C369:C390)</f>
        <v>0.29119640384812512</v>
      </c>
      <c r="F392">
        <f t="shared" ref="F392:L392" si="37">AVERAGE(F369:F390)</f>
        <v>0.26527705949700725</v>
      </c>
      <c r="I392">
        <f t="shared" si="37"/>
        <v>0.22103814862031496</v>
      </c>
      <c r="L392">
        <f t="shared" si="37"/>
        <v>0.45124587114045833</v>
      </c>
      <c r="O392">
        <f>AVERAGE(O369:O390)</f>
        <v>0.20098605392633997</v>
      </c>
    </row>
    <row r="393" spans="1:23" ht="15.75" x14ac:dyDescent="0.25">
      <c r="R393" s="14"/>
      <c r="S393" s="12" t="s">
        <v>6223</v>
      </c>
      <c r="T393" s="12" t="s">
        <v>6224</v>
      </c>
      <c r="U393" s="12" t="s">
        <v>6225</v>
      </c>
      <c r="V393" s="12" t="s">
        <v>6226</v>
      </c>
      <c r="W393" s="12" t="s">
        <v>6227</v>
      </c>
    </row>
    <row r="394" spans="1:23" ht="15.75" x14ac:dyDescent="0.25">
      <c r="R394" s="14" t="s">
        <v>6228</v>
      </c>
      <c r="S394" s="13">
        <v>1.6158082999451623E-2</v>
      </c>
      <c r="T394" s="13">
        <v>1.2410756426913951E-2</v>
      </c>
      <c r="U394" s="13">
        <v>1.1392726528272317E-2</v>
      </c>
      <c r="V394" s="13">
        <v>2.4416473004576243E-2</v>
      </c>
      <c r="W394" s="13">
        <v>9.8068344981492722E-3</v>
      </c>
    </row>
    <row r="395" spans="1:23" ht="15.75" x14ac:dyDescent="0.25">
      <c r="R395" s="14" t="s">
        <v>6229</v>
      </c>
      <c r="S395" s="13">
        <v>0.29119640384812512</v>
      </c>
      <c r="T395" s="13">
        <v>0.26527705949700725</v>
      </c>
      <c r="U395" s="13">
        <v>0.22103814862031496</v>
      </c>
      <c r="V395" s="13">
        <v>0.45124587114045833</v>
      </c>
      <c r="W395" s="13">
        <v>0.20098605392633997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A376B-D9E5-4B91-B5A6-CFB9E1F63C47}">
  <dimension ref="A1:F389"/>
  <sheetViews>
    <sheetView workbookViewId="0">
      <selection activeCell="N18" sqref="N18:N19"/>
    </sheetView>
  </sheetViews>
  <sheetFormatPr defaultRowHeight="15" x14ac:dyDescent="0.25"/>
  <cols>
    <col min="1" max="1" width="10.140625" bestFit="1" customWidth="1"/>
    <col min="2" max="2" width="18.85546875" bestFit="1" customWidth="1"/>
    <col min="3" max="3" width="12" bestFit="1" customWidth="1"/>
    <col min="4" max="4" width="18.85546875" bestFit="1" customWidth="1"/>
    <col min="5" max="5" width="12.28515625" bestFit="1" customWidth="1"/>
    <col min="6" max="6" width="12" bestFit="1" customWidth="1"/>
  </cols>
  <sheetData>
    <row r="1" spans="1:6" x14ac:dyDescent="0.25">
      <c r="A1" s="4" t="s">
        <v>2207</v>
      </c>
      <c r="B1" s="4" t="s">
        <v>6208</v>
      </c>
      <c r="C1" s="4" t="s">
        <v>6207</v>
      </c>
      <c r="D1" s="4" t="s">
        <v>6209</v>
      </c>
      <c r="E1" s="4" t="s">
        <v>6210</v>
      </c>
      <c r="F1" s="4" t="s">
        <v>6211</v>
      </c>
    </row>
    <row r="2" spans="1:6" x14ac:dyDescent="0.25">
      <c r="A2" s="1">
        <v>43608</v>
      </c>
      <c r="B2" s="6">
        <v>136029268041.96899</v>
      </c>
      <c r="C2" s="2">
        <v>25981842545.700001</v>
      </c>
      <c r="D2" s="2">
        <v>5459775235.7142801</v>
      </c>
      <c r="E2">
        <v>6968567554.1000004</v>
      </c>
      <c r="F2" s="2">
        <v>1365698184.7</v>
      </c>
    </row>
    <row r="3" spans="1:6" x14ac:dyDescent="0.25">
      <c r="A3" s="1">
        <v>43607</v>
      </c>
      <c r="B3" s="2">
        <v>140957548389.07101</v>
      </c>
      <c r="C3" s="2">
        <v>27075706370.900002</v>
      </c>
      <c r="D3" s="2">
        <v>5663668558.7828999</v>
      </c>
      <c r="E3">
        <v>7426772450.3500004</v>
      </c>
      <c r="F3" s="2">
        <v>1469944156.0999999</v>
      </c>
    </row>
    <row r="4" spans="1:6" x14ac:dyDescent="0.25">
      <c r="A4" s="1">
        <v>43606</v>
      </c>
      <c r="B4" s="2">
        <v>141324912353.672</v>
      </c>
      <c r="C4" s="2">
        <v>26716250392</v>
      </c>
      <c r="D4" s="2">
        <v>5665866650.2432499</v>
      </c>
      <c r="E4">
        <v>7340796150.46</v>
      </c>
      <c r="F4" s="2">
        <v>1479289307.04</v>
      </c>
    </row>
    <row r="5" spans="1:6" x14ac:dyDescent="0.25">
      <c r="A5" s="1">
        <v>43605</v>
      </c>
      <c r="B5" s="2">
        <v>145187822060.90701</v>
      </c>
      <c r="C5" s="2">
        <v>27734959162.700001</v>
      </c>
      <c r="D5" s="2">
        <v>5898150811.1935701</v>
      </c>
      <c r="E5">
        <v>7497724550.4499998</v>
      </c>
      <c r="F5" s="2">
        <v>1497437896.01</v>
      </c>
    </row>
    <row r="6" spans="1:6" x14ac:dyDescent="0.25">
      <c r="A6" s="1">
        <v>43604</v>
      </c>
      <c r="B6" s="2">
        <v>128719106246.866</v>
      </c>
      <c r="C6" s="2">
        <v>24884503669.900002</v>
      </c>
      <c r="D6" s="2">
        <v>5360982993.15275</v>
      </c>
      <c r="E6">
        <v>6357130498.7799997</v>
      </c>
      <c r="F6" s="2">
        <v>1237695368.9100001</v>
      </c>
    </row>
    <row r="7" spans="1:6" x14ac:dyDescent="0.25">
      <c r="A7" s="1">
        <v>43603</v>
      </c>
      <c r="B7" s="2">
        <v>130009286110.039</v>
      </c>
      <c r="C7" s="2">
        <v>25884527872.200001</v>
      </c>
      <c r="D7" s="2">
        <v>5503740779.38027</v>
      </c>
      <c r="E7">
        <v>6483382762.3900003</v>
      </c>
      <c r="F7" s="2">
        <v>1217565361.6199999</v>
      </c>
    </row>
    <row r="8" spans="1:6" x14ac:dyDescent="0.25">
      <c r="A8" s="1">
        <v>43602</v>
      </c>
      <c r="B8" s="2">
        <v>139649939236.241</v>
      </c>
      <c r="C8" s="2">
        <v>27998145740.200001</v>
      </c>
      <c r="D8" s="2">
        <v>5911452193.94314</v>
      </c>
      <c r="E8">
        <v>7091648158.46</v>
      </c>
      <c r="F8" s="2">
        <v>1311115918.5599999</v>
      </c>
    </row>
    <row r="9" spans="1:6" x14ac:dyDescent="0.25">
      <c r="A9" s="1">
        <v>43601</v>
      </c>
      <c r="B9" s="2">
        <v>145080741378.604</v>
      </c>
      <c r="C9" s="2">
        <v>26199863758.900002</v>
      </c>
      <c r="D9" s="2">
        <v>6277214539.3788996</v>
      </c>
      <c r="E9">
        <v>7157843186.4200001</v>
      </c>
      <c r="F9" s="2">
        <v>1342274410.9200001</v>
      </c>
    </row>
    <row r="10" spans="1:6" x14ac:dyDescent="0.25">
      <c r="A10" s="1">
        <v>43600</v>
      </c>
      <c r="B10" s="2">
        <v>141434072191.79401</v>
      </c>
      <c r="C10" s="2">
        <v>23021684455.900002</v>
      </c>
      <c r="D10" s="2">
        <v>5663919699.13799</v>
      </c>
      <c r="E10">
        <v>6920101954.3800001</v>
      </c>
      <c r="F10" s="2">
        <v>1245995739.0699999</v>
      </c>
    </row>
    <row r="11" spans="1:6" x14ac:dyDescent="0.25">
      <c r="A11" s="1">
        <v>43599</v>
      </c>
      <c r="B11" s="2">
        <v>138206725534.569</v>
      </c>
      <c r="C11" s="2">
        <v>20868224155.299999</v>
      </c>
      <c r="D11" s="2">
        <v>5439232366.0936403</v>
      </c>
      <c r="E11">
        <v>6852728678.8999996</v>
      </c>
      <c r="F11" s="2">
        <v>1160509214.3599999</v>
      </c>
    </row>
    <row r="12" spans="1:6" x14ac:dyDescent="0.25">
      <c r="A12" s="1">
        <v>43598</v>
      </c>
      <c r="B12" s="2">
        <v>123383186647.065</v>
      </c>
      <c r="C12" s="2">
        <v>19876835045.5</v>
      </c>
      <c r="D12" s="2">
        <v>5226634442.8235197</v>
      </c>
      <c r="E12">
        <v>6294818850.6499996</v>
      </c>
      <c r="F12" s="2">
        <v>1094264641.0599999</v>
      </c>
    </row>
    <row r="13" spans="1:6" x14ac:dyDescent="0.25">
      <c r="A13" s="1">
        <v>43597</v>
      </c>
      <c r="B13" s="2">
        <v>127480184138.43201</v>
      </c>
      <c r="C13" s="2">
        <v>20588894193.5</v>
      </c>
      <c r="D13" s="2">
        <v>5528383909.2545795</v>
      </c>
      <c r="E13">
        <v>6334070008.46</v>
      </c>
      <c r="F13" s="2">
        <v>1092706388.8399999</v>
      </c>
    </row>
    <row r="14" spans="1:6" x14ac:dyDescent="0.25">
      <c r="A14" s="1">
        <v>43596</v>
      </c>
      <c r="B14" s="2">
        <v>112888287241.80901</v>
      </c>
      <c r="C14" s="2">
        <v>18358409458.400002</v>
      </c>
      <c r="D14" s="2">
        <v>4763262367.9717503</v>
      </c>
      <c r="E14">
        <v>5116022072.4899998</v>
      </c>
      <c r="F14" s="2">
        <v>993065107.977</v>
      </c>
    </row>
    <row r="15" spans="1:6" x14ac:dyDescent="0.25">
      <c r="A15" s="1">
        <v>43595</v>
      </c>
      <c r="B15" s="2">
        <v>109271001326.106</v>
      </c>
      <c r="C15" s="2">
        <v>18055905794.799999</v>
      </c>
      <c r="D15" s="2">
        <v>4578627385.9756298</v>
      </c>
      <c r="E15">
        <v>5051694198.1300001</v>
      </c>
      <c r="F15" s="2">
        <v>989021102.98099995</v>
      </c>
    </row>
    <row r="16" spans="1:6" x14ac:dyDescent="0.25">
      <c r="A16" s="1">
        <v>43594</v>
      </c>
      <c r="B16" s="2">
        <v>105838058287.633</v>
      </c>
      <c r="C16" s="2">
        <v>18121048846.799999</v>
      </c>
      <c r="D16" s="2">
        <v>4602240572.5254698</v>
      </c>
      <c r="E16">
        <v>5091493217.7200003</v>
      </c>
      <c r="F16" s="2">
        <v>1038467415.72</v>
      </c>
    </row>
    <row r="17" spans="1:6" x14ac:dyDescent="0.25">
      <c r="A17" s="1">
        <v>43593</v>
      </c>
      <c r="B17" s="2">
        <v>103476740139.94</v>
      </c>
      <c r="C17" s="2">
        <v>18007315725</v>
      </c>
      <c r="D17" s="2">
        <v>4604952869.3620996</v>
      </c>
      <c r="E17">
        <v>5092451579.6499996</v>
      </c>
      <c r="F17" s="2">
        <v>1033754884.4400001</v>
      </c>
    </row>
    <row r="18" spans="1:6" x14ac:dyDescent="0.25">
      <c r="A18" s="1">
        <v>43592</v>
      </c>
      <c r="B18" s="2">
        <v>101628342873.505</v>
      </c>
      <c r="C18" s="2">
        <v>18273173407.200001</v>
      </c>
      <c r="D18" s="2">
        <v>4624412923.8610201</v>
      </c>
      <c r="E18">
        <v>5112166172.6999998</v>
      </c>
      <c r="F18" s="2">
        <v>1058964769.86</v>
      </c>
    </row>
    <row r="19" spans="1:6" x14ac:dyDescent="0.25">
      <c r="A19" s="1">
        <v>43591</v>
      </c>
      <c r="B19" s="2">
        <v>102434237396.10699</v>
      </c>
      <c r="C19" s="2">
        <v>17308103152.5</v>
      </c>
      <c r="D19" s="2">
        <v>4688078187.4538498</v>
      </c>
      <c r="E19">
        <v>5223229128.6199999</v>
      </c>
      <c r="F19" s="2">
        <v>1048980037.58</v>
      </c>
    </row>
    <row r="20" spans="1:6" x14ac:dyDescent="0.25">
      <c r="A20" s="1">
        <v>43590</v>
      </c>
      <c r="B20" s="2">
        <v>103119745216.842</v>
      </c>
      <c r="C20" s="2">
        <v>17377683271.799999</v>
      </c>
      <c r="D20" s="2">
        <v>4808454365.7014999</v>
      </c>
      <c r="E20">
        <v>5176195910.1700001</v>
      </c>
      <c r="F20" s="2">
        <v>1061372592.48</v>
      </c>
    </row>
    <row r="21" spans="1:6" x14ac:dyDescent="0.25">
      <c r="A21" s="1">
        <v>43589</v>
      </c>
      <c r="B21" s="2">
        <v>102016211677.48801</v>
      </c>
      <c r="C21" s="2">
        <v>17784968759</v>
      </c>
      <c r="D21" s="2">
        <v>4887991348.0257397</v>
      </c>
      <c r="E21">
        <v>5202868764.5100002</v>
      </c>
      <c r="F21" s="2">
        <v>1063890134.34</v>
      </c>
    </row>
    <row r="22" spans="1:6" x14ac:dyDescent="0.25">
      <c r="A22" s="1">
        <v>43588</v>
      </c>
      <c r="B22" s="2">
        <v>97340866766.627106</v>
      </c>
      <c r="C22" s="2">
        <v>17167863200.6</v>
      </c>
      <c r="D22" s="2">
        <v>4544493075.4831696</v>
      </c>
      <c r="E22">
        <v>4798643753.5299997</v>
      </c>
      <c r="F22" s="2">
        <v>1030356030.8200001</v>
      </c>
    </row>
    <row r="23" spans="1:6" x14ac:dyDescent="0.25">
      <c r="A23" s="1">
        <v>43587</v>
      </c>
      <c r="B23" s="2">
        <v>95511607850.135803</v>
      </c>
      <c r="C23" s="2">
        <v>17035458363.799999</v>
      </c>
      <c r="D23" s="2">
        <v>4538664026.5372696</v>
      </c>
      <c r="E23">
        <v>4830450985.1300001</v>
      </c>
      <c r="F23" s="2">
        <v>1029837347.6799999</v>
      </c>
    </row>
    <row r="24" spans="1:6" x14ac:dyDescent="0.25">
      <c r="A24" s="1">
        <v>43586</v>
      </c>
      <c r="B24" s="2">
        <v>94585641437.990707</v>
      </c>
      <c r="C24" s="2">
        <v>17174689512.799999</v>
      </c>
      <c r="D24" s="2">
        <v>4575763045.8607101</v>
      </c>
      <c r="E24">
        <v>4759186329.1499996</v>
      </c>
      <c r="F24" s="2">
        <v>981908711.92400002</v>
      </c>
    </row>
    <row r="25" spans="1:6" x14ac:dyDescent="0.25">
      <c r="A25" s="1">
        <v>43585</v>
      </c>
      <c r="B25" s="2">
        <v>92753308100.923096</v>
      </c>
      <c r="C25" s="2">
        <v>16428969878.5</v>
      </c>
      <c r="D25" s="2">
        <v>4183805993.5844102</v>
      </c>
      <c r="E25" s="2">
        <v>4218605231.9200001</v>
      </c>
      <c r="F25" s="2">
        <v>949198672.00399995</v>
      </c>
    </row>
    <row r="26" spans="1:6" x14ac:dyDescent="0.25">
      <c r="A26" s="1">
        <v>43584</v>
      </c>
      <c r="B26" s="2">
        <v>93400432917.568604</v>
      </c>
      <c r="C26" s="2">
        <v>16651905430.4</v>
      </c>
      <c r="D26" s="2">
        <v>4295459811.1421404</v>
      </c>
      <c r="E26" s="2">
        <v>4537475414.3999996</v>
      </c>
      <c r="F26" s="2">
        <v>967958452.75999999</v>
      </c>
    </row>
    <row r="27" spans="1:6" x14ac:dyDescent="0.25">
      <c r="A27" s="1">
        <v>43583</v>
      </c>
      <c r="B27" s="2">
        <v>93154635948.970306</v>
      </c>
      <c r="C27" s="2">
        <v>16777095859.299999</v>
      </c>
      <c r="D27" s="2">
        <v>4438184268.2409201</v>
      </c>
      <c r="E27" s="2">
        <v>4689112910.5799999</v>
      </c>
      <c r="F27" s="2">
        <v>962303889.74300003</v>
      </c>
    </row>
    <row r="28" spans="1:6" x14ac:dyDescent="0.25">
      <c r="A28" s="1">
        <v>43582</v>
      </c>
      <c r="B28" s="2">
        <v>93283697547.5354</v>
      </c>
      <c r="C28" s="2">
        <v>16539956897.1</v>
      </c>
      <c r="D28" s="2">
        <v>4504499992.7828598</v>
      </c>
      <c r="E28" s="2">
        <v>4688118634</v>
      </c>
      <c r="F28" s="2">
        <v>960612705.99800003</v>
      </c>
    </row>
    <row r="29" spans="1:6" x14ac:dyDescent="0.25">
      <c r="A29" s="1">
        <v>43581</v>
      </c>
      <c r="B29" s="2">
        <v>92052355300.934296</v>
      </c>
      <c r="C29" s="2">
        <v>16358155236</v>
      </c>
      <c r="D29" s="2">
        <v>4389324613.9037199</v>
      </c>
      <c r="E29" s="2">
        <v>4742676111.1400003</v>
      </c>
      <c r="F29" s="2">
        <v>953812378.51900005</v>
      </c>
    </row>
    <row r="30" spans="1:6" x14ac:dyDescent="0.25">
      <c r="A30" s="1">
        <v>43580</v>
      </c>
      <c r="B30" s="2">
        <v>96568863409.201599</v>
      </c>
      <c r="C30" s="2">
        <v>17555110435.5</v>
      </c>
      <c r="D30" s="2">
        <v>4504661404.0280704</v>
      </c>
      <c r="E30" s="2">
        <v>4955543877.5100002</v>
      </c>
      <c r="F30" s="2">
        <v>1012170612.29</v>
      </c>
    </row>
    <row r="31" spans="1:6" x14ac:dyDescent="0.25">
      <c r="A31" s="1">
        <v>43579</v>
      </c>
      <c r="B31" s="2">
        <v>98413699286.474792</v>
      </c>
      <c r="C31" s="2">
        <v>18128019550.599998</v>
      </c>
      <c r="D31" s="2">
        <v>4595949347.9879904</v>
      </c>
      <c r="E31" s="2">
        <v>5163495578.3500004</v>
      </c>
      <c r="F31" s="2">
        <v>1041101867.88</v>
      </c>
    </row>
    <row r="32" spans="1:6" x14ac:dyDescent="0.25">
      <c r="A32" s="1">
        <v>43578</v>
      </c>
      <c r="B32" s="2">
        <v>95362088391.235901</v>
      </c>
      <c r="C32" s="2">
        <v>18195700944.900002</v>
      </c>
      <c r="D32" s="2">
        <v>4723782767.3339996</v>
      </c>
      <c r="E32" s="2">
        <v>5195528981.3999996</v>
      </c>
      <c r="F32" s="2">
        <v>1075799179.49</v>
      </c>
    </row>
    <row r="33" spans="1:6" x14ac:dyDescent="0.25">
      <c r="A33" s="1">
        <v>43577</v>
      </c>
      <c r="B33" s="2">
        <v>93819885517.740402</v>
      </c>
      <c r="C33" s="2">
        <v>17983611279.200001</v>
      </c>
      <c r="D33" s="2">
        <v>4749918653.4344301</v>
      </c>
      <c r="E33" s="2">
        <v>5151556358.8299999</v>
      </c>
      <c r="F33" s="2">
        <v>1065584121.9</v>
      </c>
    </row>
    <row r="34" spans="1:6" x14ac:dyDescent="0.25">
      <c r="A34" s="1">
        <v>43576</v>
      </c>
      <c r="B34" s="2">
        <v>94224062935.338593</v>
      </c>
      <c r="C34" s="2">
        <v>18371722175.5</v>
      </c>
      <c r="D34" s="2">
        <v>5008975808.6362305</v>
      </c>
      <c r="E34" s="2">
        <v>5336776175.9399996</v>
      </c>
      <c r="F34" s="2">
        <v>1083036819.9000001</v>
      </c>
    </row>
    <row r="35" spans="1:6" x14ac:dyDescent="0.25">
      <c r="A35" s="1">
        <v>43575</v>
      </c>
      <c r="B35" s="2">
        <v>93653162039.264008</v>
      </c>
      <c r="C35" s="2">
        <v>18369850881.400002</v>
      </c>
      <c r="D35" s="2">
        <v>5071126296.3078098</v>
      </c>
      <c r="E35" s="2">
        <v>5443574090.6499996</v>
      </c>
      <c r="F35" s="2">
        <v>1078108672.22</v>
      </c>
    </row>
    <row r="36" spans="1:6" x14ac:dyDescent="0.25">
      <c r="A36" s="1">
        <v>43574</v>
      </c>
      <c r="B36" s="2">
        <v>93538418150.790894</v>
      </c>
      <c r="C36" s="2">
        <v>18374588474.900002</v>
      </c>
      <c r="D36" s="2">
        <v>5042120639.16434</v>
      </c>
      <c r="E36" s="2">
        <v>5444201816.1000004</v>
      </c>
      <c r="F36" s="2">
        <v>1089470862.28</v>
      </c>
    </row>
    <row r="37" spans="1:6" x14ac:dyDescent="0.25">
      <c r="A37" s="1">
        <v>43573</v>
      </c>
      <c r="B37" s="2">
        <v>92704301183.247406</v>
      </c>
      <c r="C37" s="2">
        <v>17645456144.700001</v>
      </c>
      <c r="D37" s="2">
        <v>4874886046.9006901</v>
      </c>
      <c r="E37" s="2">
        <v>5513476408.2600002</v>
      </c>
      <c r="F37" s="2">
        <v>1056238331.75</v>
      </c>
    </row>
    <row r="38" spans="1:6" x14ac:dyDescent="0.25">
      <c r="A38" s="1">
        <v>43572</v>
      </c>
      <c r="B38" s="2">
        <v>92423729779.192398</v>
      </c>
      <c r="C38" s="2">
        <v>17710507740.900002</v>
      </c>
      <c r="D38" s="2">
        <v>4993539548.9814701</v>
      </c>
      <c r="E38" s="2">
        <v>5644928728.7299995</v>
      </c>
      <c r="F38" s="2">
        <v>1064235177.73</v>
      </c>
    </row>
    <row r="39" spans="1:6" x14ac:dyDescent="0.25">
      <c r="A39" s="1">
        <v>43571</v>
      </c>
      <c r="B39" s="2">
        <v>89422213791.516907</v>
      </c>
      <c r="C39" s="2">
        <v>17072255812.5</v>
      </c>
      <c r="D39" s="2">
        <v>4850768898.1713495</v>
      </c>
      <c r="E39" s="2">
        <v>5570008758.8999996</v>
      </c>
      <c r="F39" s="2">
        <v>1044515212.04</v>
      </c>
    </row>
    <row r="40" spans="1:6" x14ac:dyDescent="0.25">
      <c r="A40" s="1">
        <v>43570</v>
      </c>
      <c r="B40" s="2">
        <v>91190701763.082703</v>
      </c>
      <c r="C40" s="2">
        <v>17743308477.799999</v>
      </c>
      <c r="D40" s="2">
        <v>5093579177.4819698</v>
      </c>
      <c r="E40" s="2">
        <v>5118801487.5900002</v>
      </c>
      <c r="F40" s="2">
        <v>1078623012.6199999</v>
      </c>
    </row>
    <row r="41" spans="1:6" x14ac:dyDescent="0.25">
      <c r="A41" s="1">
        <v>43569</v>
      </c>
      <c r="B41" s="2">
        <v>89918802991.426407</v>
      </c>
      <c r="C41" s="2">
        <v>17379031150.200001</v>
      </c>
      <c r="D41" s="2">
        <v>4796842763.57125</v>
      </c>
      <c r="E41" s="2">
        <v>4953537475.2200003</v>
      </c>
      <c r="F41" s="2">
        <v>1051225812.9400001</v>
      </c>
    </row>
    <row r="42" spans="1:6" x14ac:dyDescent="0.25">
      <c r="A42" s="1">
        <v>43568</v>
      </c>
      <c r="B42" s="2">
        <v>89789008278.602707</v>
      </c>
      <c r="C42" s="2">
        <v>17392089660.099998</v>
      </c>
      <c r="D42" s="2">
        <v>4841834203.6250296</v>
      </c>
      <c r="E42" s="2">
        <v>5011027110.5900002</v>
      </c>
      <c r="F42" s="2">
        <v>1046323449.65</v>
      </c>
    </row>
    <row r="43" spans="1:6" x14ac:dyDescent="0.25">
      <c r="A43" s="1">
        <v>43567</v>
      </c>
      <c r="B43" s="2">
        <v>89292642236.302994</v>
      </c>
      <c r="C43" s="2">
        <v>17465144664.799999</v>
      </c>
      <c r="D43" s="2">
        <v>4882554018.3385201</v>
      </c>
      <c r="E43" s="2">
        <v>4832601003.3000002</v>
      </c>
      <c r="F43" s="2">
        <v>1077173135.6099999</v>
      </c>
    </row>
    <row r="44" spans="1:6" x14ac:dyDescent="0.25">
      <c r="A44" s="1">
        <v>43566</v>
      </c>
      <c r="B44" s="2">
        <v>93938159484.370895</v>
      </c>
      <c r="C44" s="2">
        <v>18730400068</v>
      </c>
      <c r="D44" s="2">
        <v>5418036327.8112402</v>
      </c>
      <c r="E44" s="2">
        <v>5407664547.5</v>
      </c>
      <c r="F44" s="2">
        <v>1137652121.47</v>
      </c>
    </row>
    <row r="45" spans="1:6" x14ac:dyDescent="0.25">
      <c r="A45" s="1">
        <v>43565</v>
      </c>
      <c r="B45" s="2">
        <v>91794027478.419006</v>
      </c>
      <c r="C45" s="2">
        <v>18593939929.5</v>
      </c>
      <c r="D45" s="2">
        <v>5317490760.1975498</v>
      </c>
      <c r="E45" s="2">
        <v>5245012070.9399996</v>
      </c>
      <c r="F45" s="2">
        <v>1157401968.4200001</v>
      </c>
    </row>
    <row r="46" spans="1:6" x14ac:dyDescent="0.25">
      <c r="A46" s="1">
        <v>43564</v>
      </c>
      <c r="B46" s="2">
        <v>93297760982.181595</v>
      </c>
      <c r="C46" s="2">
        <v>19030495239.799999</v>
      </c>
      <c r="D46" s="2">
        <v>5483491946.0421696</v>
      </c>
      <c r="E46" s="2">
        <v>5492292423.6899996</v>
      </c>
      <c r="F46" s="2">
        <v>1191909372.95</v>
      </c>
    </row>
    <row r="47" spans="1:6" x14ac:dyDescent="0.25">
      <c r="A47" s="1">
        <v>43563</v>
      </c>
      <c r="B47" s="2">
        <v>91700428797.668701</v>
      </c>
      <c r="C47" s="2">
        <v>18418227358.200001</v>
      </c>
      <c r="D47" s="2">
        <v>5656033696.3706503</v>
      </c>
      <c r="E47" s="2">
        <v>5665669397.3000002</v>
      </c>
      <c r="F47" s="2">
        <v>1182474078.5899999</v>
      </c>
    </row>
    <row r="48" spans="1:6" x14ac:dyDescent="0.25">
      <c r="A48" s="1">
        <v>43562</v>
      </c>
      <c r="B48" s="2">
        <v>89274149501.505798</v>
      </c>
      <c r="C48" s="2">
        <v>17521980522.5</v>
      </c>
      <c r="D48" s="2">
        <v>5660143518.9104099</v>
      </c>
      <c r="E48" s="2">
        <v>5417528156.1199999</v>
      </c>
      <c r="F48" s="2">
        <v>1143873754.46</v>
      </c>
    </row>
    <row r="49" spans="1:6" x14ac:dyDescent="0.25">
      <c r="A49" s="1">
        <v>43561</v>
      </c>
      <c r="B49" s="2">
        <v>88806677651.304794</v>
      </c>
      <c r="C49" s="2">
        <v>17469640618.200001</v>
      </c>
      <c r="D49" s="2">
        <v>5431633162.9681301</v>
      </c>
      <c r="E49" s="2">
        <v>5187000944.8199997</v>
      </c>
      <c r="F49" s="2">
        <v>1160054757.0999999</v>
      </c>
    </row>
    <row r="50" spans="1:6" x14ac:dyDescent="0.25">
      <c r="A50" s="1">
        <v>43560</v>
      </c>
      <c r="B50" s="2">
        <v>86788602978.828598</v>
      </c>
      <c r="C50" s="2">
        <v>16677686276.6</v>
      </c>
      <c r="D50" s="2">
        <v>5205337497.4948101</v>
      </c>
      <c r="E50" s="2">
        <v>5077087890.7299995</v>
      </c>
      <c r="F50" s="2">
        <v>1081875444</v>
      </c>
    </row>
    <row r="51" spans="1:6" x14ac:dyDescent="0.25">
      <c r="A51" s="1">
        <v>43559</v>
      </c>
      <c r="B51" s="2">
        <v>87633858252.176697</v>
      </c>
      <c r="C51" s="2">
        <v>17035157168.9</v>
      </c>
      <c r="D51" s="2">
        <v>5212236932.2999496</v>
      </c>
      <c r="E51" s="2">
        <v>5286062020.2299995</v>
      </c>
      <c r="F51" s="2">
        <v>1090559113.1300001</v>
      </c>
    </row>
    <row r="52" spans="1:6" x14ac:dyDescent="0.25">
      <c r="A52" s="1">
        <v>43558</v>
      </c>
      <c r="B52" s="2">
        <v>86014996910.544098</v>
      </c>
      <c r="C52" s="2">
        <v>17304754995.200001</v>
      </c>
      <c r="D52" s="2">
        <v>4665896238.5101204</v>
      </c>
      <c r="E52" s="2">
        <v>4186425396.3600001</v>
      </c>
      <c r="F52" s="2">
        <v>1089067489.01</v>
      </c>
    </row>
    <row r="53" spans="1:6" x14ac:dyDescent="0.25">
      <c r="A53" s="1">
        <v>43557</v>
      </c>
      <c r="B53" s="2">
        <v>73247080187.856903</v>
      </c>
      <c r="C53" s="2">
        <v>14963940377.200001</v>
      </c>
      <c r="D53" s="2">
        <v>3713026798.02598</v>
      </c>
      <c r="E53" s="2">
        <v>2968257151.5500002</v>
      </c>
      <c r="F53" s="2">
        <v>987059238.34500003</v>
      </c>
    </row>
    <row r="54" spans="1:6" x14ac:dyDescent="0.25">
      <c r="A54" s="1">
        <v>43556</v>
      </c>
      <c r="B54" s="2">
        <v>72338651929.253601</v>
      </c>
      <c r="C54" s="2">
        <v>14922854536.9</v>
      </c>
      <c r="D54" s="2">
        <v>3716068172.3378301</v>
      </c>
      <c r="E54" s="2">
        <v>2990314580.4499998</v>
      </c>
      <c r="F54" s="2">
        <v>943183252.921</v>
      </c>
    </row>
    <row r="55" spans="1:6" x14ac:dyDescent="0.25">
      <c r="A55" s="1">
        <v>43555</v>
      </c>
      <c r="B55" s="2">
        <v>72340436268.606293</v>
      </c>
      <c r="C55" s="2">
        <v>14991981344.700001</v>
      </c>
      <c r="D55" s="2">
        <v>3707035737.3008499</v>
      </c>
      <c r="E55" s="2">
        <v>2985420069.6399999</v>
      </c>
      <c r="F55" s="2">
        <v>871745759.352</v>
      </c>
    </row>
    <row r="56" spans="1:6" x14ac:dyDescent="0.25">
      <c r="A56" s="1">
        <v>43554</v>
      </c>
      <c r="B56" s="2">
        <v>72099362948.486099</v>
      </c>
      <c r="C56" s="2">
        <v>15013089250.6</v>
      </c>
      <c r="D56" s="2">
        <v>3743819884.6708999</v>
      </c>
      <c r="E56" s="2">
        <v>3014541588.4000001</v>
      </c>
      <c r="F56" s="2">
        <v>854053688.98099995</v>
      </c>
    </row>
    <row r="57" spans="1:6" x14ac:dyDescent="0.25">
      <c r="A57" s="1">
        <v>43553</v>
      </c>
      <c r="B57" s="2">
        <v>71672337580.589905</v>
      </c>
      <c r="C57" s="2">
        <v>14692167652.6</v>
      </c>
      <c r="D57" s="2">
        <v>3737991285.2804198</v>
      </c>
      <c r="E57" s="2">
        <v>2997450315.25</v>
      </c>
      <c r="F57" s="2">
        <v>845465149.65799999</v>
      </c>
    </row>
    <row r="58" spans="1:6" x14ac:dyDescent="0.25">
      <c r="A58" s="1">
        <v>43552</v>
      </c>
      <c r="B58" s="2">
        <v>72004355346.740601</v>
      </c>
      <c r="C58" s="2">
        <v>14866238269.700001</v>
      </c>
      <c r="D58" s="2">
        <v>3801151830.0872898</v>
      </c>
      <c r="E58" s="2">
        <v>3063592604.8200002</v>
      </c>
      <c r="F58" s="2">
        <v>831706355.66700006</v>
      </c>
    </row>
    <row r="59" spans="1:6" x14ac:dyDescent="0.25">
      <c r="A59" s="1">
        <v>43551</v>
      </c>
      <c r="B59" s="2">
        <v>70176645324.469803</v>
      </c>
      <c r="C59" s="2">
        <v>14278397960.1</v>
      </c>
      <c r="D59" s="2">
        <v>3628598734.8709998</v>
      </c>
      <c r="E59" s="2">
        <v>2840424512.8600001</v>
      </c>
      <c r="F59" s="2">
        <v>782894859.96700001</v>
      </c>
    </row>
    <row r="60" spans="1:6" x14ac:dyDescent="0.25">
      <c r="A60" s="1">
        <v>43550</v>
      </c>
      <c r="B60" s="2">
        <v>69905001305.510406</v>
      </c>
      <c r="C60" s="2">
        <v>14234601260.299999</v>
      </c>
      <c r="D60" s="2">
        <v>3633956879.2365999</v>
      </c>
      <c r="E60" s="2">
        <v>2855614169.3499999</v>
      </c>
      <c r="F60" s="2">
        <v>784514427.51400006</v>
      </c>
    </row>
    <row r="61" spans="1:6" x14ac:dyDescent="0.25">
      <c r="A61" s="1">
        <v>43549</v>
      </c>
      <c r="B61" s="2">
        <v>70864790002.425598</v>
      </c>
      <c r="C61" s="2">
        <v>14446781456.5</v>
      </c>
      <c r="D61" s="2">
        <v>3680901280.1798301</v>
      </c>
      <c r="E61" s="2">
        <v>2938855061.54</v>
      </c>
      <c r="F61" s="2">
        <v>807632995.26100004</v>
      </c>
    </row>
    <row r="62" spans="1:6" x14ac:dyDescent="0.25">
      <c r="A62" s="1">
        <v>43548</v>
      </c>
      <c r="B62" s="2">
        <v>71051773087.561798</v>
      </c>
      <c r="C62" s="2">
        <v>14575140922.799999</v>
      </c>
      <c r="D62" s="2">
        <v>3737776686.1760201</v>
      </c>
      <c r="E62" s="2">
        <v>2955874042.5</v>
      </c>
      <c r="F62" s="2">
        <v>806808054.40799999</v>
      </c>
    </row>
    <row r="63" spans="1:6" x14ac:dyDescent="0.25">
      <c r="A63" s="1">
        <v>43547</v>
      </c>
      <c r="B63" s="2">
        <v>70825023305.425598</v>
      </c>
      <c r="C63" s="2">
        <v>14438709820.9</v>
      </c>
      <c r="D63" s="2">
        <v>3648094874.6268902</v>
      </c>
      <c r="E63" s="2">
        <v>2797155386.8600001</v>
      </c>
      <c r="F63" s="2">
        <v>796410647.57099998</v>
      </c>
    </row>
    <row r="64" spans="1:6" x14ac:dyDescent="0.25">
      <c r="A64" s="1">
        <v>43546</v>
      </c>
      <c r="B64" s="2">
        <v>70919972608.987595</v>
      </c>
      <c r="C64" s="2">
        <v>14386423896.4</v>
      </c>
      <c r="D64" s="2">
        <v>3617630118.20294</v>
      </c>
      <c r="E64" s="2">
        <v>2736372894.21</v>
      </c>
      <c r="F64" s="2">
        <v>793042214.43799996</v>
      </c>
    </row>
    <row r="65" spans="1:6" x14ac:dyDescent="0.25">
      <c r="A65" s="1">
        <v>43545</v>
      </c>
      <c r="B65" s="2">
        <v>71887674693.992203</v>
      </c>
      <c r="C65" s="2">
        <v>14796898879</v>
      </c>
      <c r="D65" s="2">
        <v>3712098579.1758099</v>
      </c>
      <c r="E65" s="2">
        <v>2843536885.1199999</v>
      </c>
      <c r="F65" s="2">
        <v>815853329.10899997</v>
      </c>
    </row>
    <row r="66" spans="1:6" x14ac:dyDescent="0.25">
      <c r="A66" s="1">
        <v>43544</v>
      </c>
      <c r="B66" s="2">
        <v>71648688671.012299</v>
      </c>
      <c r="C66" s="2">
        <v>14795034651.799999</v>
      </c>
      <c r="D66" s="2">
        <v>3699533792.4601402</v>
      </c>
      <c r="E66" s="2">
        <v>2870608941.3600001</v>
      </c>
      <c r="F66" s="2">
        <v>803996298.66600001</v>
      </c>
    </row>
    <row r="67" spans="1:6" x14ac:dyDescent="0.25">
      <c r="A67" s="1">
        <v>43543</v>
      </c>
      <c r="B67" s="2">
        <v>70970153382.705597</v>
      </c>
      <c r="C67" s="2">
        <v>14663873649.1</v>
      </c>
      <c r="D67" s="2">
        <v>3670564372.9643602</v>
      </c>
      <c r="E67" s="2">
        <v>2874992830.0599999</v>
      </c>
      <c r="F67" s="2">
        <v>804174944.54299998</v>
      </c>
    </row>
    <row r="68" spans="1:6" x14ac:dyDescent="0.25">
      <c r="A68" s="1">
        <v>43542</v>
      </c>
      <c r="B68" s="2">
        <v>70913470232.001297</v>
      </c>
      <c r="C68" s="2">
        <v>14752047580.299999</v>
      </c>
      <c r="D68" s="2">
        <v>3734893284.4102201</v>
      </c>
      <c r="E68" s="2">
        <v>2762722328.79</v>
      </c>
      <c r="F68" s="2">
        <v>814384760.02199996</v>
      </c>
    </row>
    <row r="69" spans="1:6" x14ac:dyDescent="0.25">
      <c r="A69" s="1">
        <v>43541</v>
      </c>
      <c r="B69" s="2">
        <v>71217640059.573196</v>
      </c>
      <c r="C69" s="2">
        <v>14975028822.6</v>
      </c>
      <c r="D69" s="2">
        <v>3770420951.3696899</v>
      </c>
      <c r="E69" s="2">
        <v>2783243710.5</v>
      </c>
      <c r="F69" s="2">
        <v>808855529.70799994</v>
      </c>
    </row>
    <row r="70" spans="1:6" x14ac:dyDescent="0.25">
      <c r="A70" s="1">
        <v>43540</v>
      </c>
      <c r="B70" s="2">
        <v>69735581444.703506</v>
      </c>
      <c r="C70" s="2">
        <v>14517053044.4</v>
      </c>
      <c r="D70" s="2">
        <v>3593452102.0155201</v>
      </c>
      <c r="E70" s="2">
        <v>2545024906.1900001</v>
      </c>
      <c r="F70" s="2">
        <v>789913658.72599995</v>
      </c>
    </row>
    <row r="71" spans="1:6" x14ac:dyDescent="0.25">
      <c r="A71" s="1">
        <v>43539</v>
      </c>
      <c r="B71" s="2">
        <v>69072522433.903</v>
      </c>
      <c r="C71" s="2">
        <v>14058719827.700001</v>
      </c>
      <c r="D71" s="2">
        <v>3443093583.8081002</v>
      </c>
      <c r="E71" s="2">
        <v>2364709148.6500001</v>
      </c>
      <c r="F71" s="2">
        <v>781758902.51100004</v>
      </c>
    </row>
    <row r="72" spans="1:6" x14ac:dyDescent="0.25">
      <c r="A72" s="1">
        <v>43538</v>
      </c>
      <c r="B72" s="2">
        <v>68694204013.050003</v>
      </c>
      <c r="C72" s="2">
        <v>14017955711.1</v>
      </c>
      <c r="D72" s="2">
        <v>3401162528.41781</v>
      </c>
      <c r="E72" s="2">
        <v>2276542748.8299999</v>
      </c>
      <c r="F72" s="2">
        <v>793196906.89499998</v>
      </c>
    </row>
    <row r="73" spans="1:6" x14ac:dyDescent="0.25">
      <c r="A73" s="1">
        <v>43537</v>
      </c>
      <c r="B73" s="2">
        <v>68818024820.276794</v>
      </c>
      <c r="C73" s="2">
        <v>14164667278.9</v>
      </c>
      <c r="D73" s="2">
        <v>3474538196.4963298</v>
      </c>
      <c r="E73" s="2">
        <v>2282955329.1700001</v>
      </c>
      <c r="F73" s="2">
        <v>801300859.60099995</v>
      </c>
    </row>
    <row r="74" spans="1:6" x14ac:dyDescent="0.25">
      <c r="A74" s="1">
        <v>43536</v>
      </c>
      <c r="B74" s="2">
        <v>68648040998.0877</v>
      </c>
      <c r="C74" s="2">
        <v>14099687502.4</v>
      </c>
      <c r="D74" s="2">
        <v>3371723018.43894</v>
      </c>
      <c r="E74" s="2">
        <v>2303129259.6700001</v>
      </c>
      <c r="F74" s="2">
        <v>731937327.06299996</v>
      </c>
    </row>
    <row r="75" spans="1:6" x14ac:dyDescent="0.25">
      <c r="A75" s="1">
        <v>43535</v>
      </c>
      <c r="B75" s="2">
        <v>69519895117.461304</v>
      </c>
      <c r="C75" s="2">
        <v>14396751551.1</v>
      </c>
      <c r="D75" s="2">
        <v>3479448013.3899298</v>
      </c>
      <c r="E75" s="2">
        <v>2347363311.48</v>
      </c>
      <c r="F75" s="2">
        <v>728320293.65600002</v>
      </c>
    </row>
    <row r="76" spans="1:6" x14ac:dyDescent="0.25">
      <c r="A76" s="1">
        <v>43534</v>
      </c>
      <c r="B76" s="2">
        <v>69731460717.171005</v>
      </c>
      <c r="C76" s="2">
        <v>14534221086.9</v>
      </c>
      <c r="D76" s="2">
        <v>3533993165.62609</v>
      </c>
      <c r="E76" s="2">
        <v>2367841313.25</v>
      </c>
      <c r="F76" s="2">
        <v>732096577.13</v>
      </c>
    </row>
    <row r="77" spans="1:6" x14ac:dyDescent="0.25">
      <c r="A77" s="1">
        <v>43533</v>
      </c>
      <c r="B77" s="2">
        <v>68465716202.449501</v>
      </c>
      <c r="C77" s="2">
        <v>14185959059.200001</v>
      </c>
      <c r="D77" s="2">
        <v>3405157442.7268</v>
      </c>
      <c r="E77" s="2">
        <v>2285957086.7199998</v>
      </c>
      <c r="F77" s="2">
        <v>707928879.61800003</v>
      </c>
    </row>
    <row r="78" spans="1:6" x14ac:dyDescent="0.25">
      <c r="A78" s="1">
        <v>43532</v>
      </c>
      <c r="B78" s="2">
        <v>68787274721.017593</v>
      </c>
      <c r="C78" s="2">
        <v>14543933691.200001</v>
      </c>
      <c r="D78" s="2">
        <v>3492055984.3422399</v>
      </c>
      <c r="E78" s="2">
        <v>2335074565.54</v>
      </c>
      <c r="F78" s="2">
        <v>726232753.64999998</v>
      </c>
    </row>
    <row r="79" spans="1:6" x14ac:dyDescent="0.25">
      <c r="A79" s="1">
        <v>43531</v>
      </c>
      <c r="B79" s="2">
        <v>68607053124.886497</v>
      </c>
      <c r="C79" s="2">
        <v>14609082450.700001</v>
      </c>
      <c r="D79" s="2">
        <v>3393943158.1269398</v>
      </c>
      <c r="E79" s="2">
        <v>2353826707.7800002</v>
      </c>
      <c r="F79" s="2">
        <v>730036912.08599997</v>
      </c>
    </row>
    <row r="80" spans="1:6" x14ac:dyDescent="0.25">
      <c r="A80" s="1">
        <v>43530</v>
      </c>
      <c r="B80" s="2">
        <v>68489324543.905403</v>
      </c>
      <c r="C80" s="2">
        <v>14503610486.9</v>
      </c>
      <c r="D80" s="2">
        <v>3222071591.4650402</v>
      </c>
      <c r="E80" s="2">
        <v>2355741086.6799998</v>
      </c>
      <c r="F80" s="2">
        <v>727563833.29400003</v>
      </c>
    </row>
    <row r="81" spans="1:6" x14ac:dyDescent="0.25">
      <c r="A81" s="1">
        <v>43529</v>
      </c>
      <c r="B81" s="2">
        <v>66071077331.415802</v>
      </c>
      <c r="C81" s="2">
        <v>13437437791.4</v>
      </c>
      <c r="D81" s="2">
        <v>2826307365.6412501</v>
      </c>
      <c r="E81" s="2">
        <v>2206317046.0700002</v>
      </c>
      <c r="F81" s="2">
        <v>692923049.48899996</v>
      </c>
    </row>
    <row r="82" spans="1:6" x14ac:dyDescent="0.25">
      <c r="A82" s="1">
        <v>43528</v>
      </c>
      <c r="B82" s="2">
        <v>67562261232.482697</v>
      </c>
      <c r="C82" s="2">
        <v>13894432358.6</v>
      </c>
      <c r="D82" s="2">
        <v>2935506038.4934301</v>
      </c>
      <c r="E82" s="2">
        <v>2320215171.75</v>
      </c>
      <c r="F82" s="2">
        <v>713703937.72599995</v>
      </c>
    </row>
    <row r="83" spans="1:6" x14ac:dyDescent="0.25">
      <c r="A83" s="1">
        <v>43527</v>
      </c>
      <c r="B83" s="2">
        <v>67857497568.1269</v>
      </c>
      <c r="C83" s="2">
        <v>14167656151.6</v>
      </c>
      <c r="D83" s="2">
        <v>2976541634.6911898</v>
      </c>
      <c r="E83" s="2">
        <v>2340167578.5100002</v>
      </c>
      <c r="F83" s="2">
        <v>721351399.19500005</v>
      </c>
    </row>
    <row r="84" spans="1:6" x14ac:dyDescent="0.25">
      <c r="A84" s="1">
        <v>43526</v>
      </c>
      <c r="B84" s="2">
        <v>67728390986.725998</v>
      </c>
      <c r="C84" s="2">
        <v>14328584127.5</v>
      </c>
      <c r="D84" s="2">
        <v>2882022836.9400201</v>
      </c>
      <c r="E84" s="2">
        <v>2346139268.5100002</v>
      </c>
      <c r="F84" s="2">
        <v>722091980.42400002</v>
      </c>
    </row>
    <row r="85" spans="1:6" x14ac:dyDescent="0.25">
      <c r="A85" s="1">
        <v>43525</v>
      </c>
      <c r="B85" s="2">
        <v>67694732251.111099</v>
      </c>
      <c r="C85" s="2">
        <v>14377986030.799999</v>
      </c>
      <c r="D85" s="2">
        <v>2806183406.2480502</v>
      </c>
      <c r="E85" s="2">
        <v>2331124497.9899998</v>
      </c>
      <c r="F85" s="2">
        <v>722246142.87399995</v>
      </c>
    </row>
    <row r="86" spans="1:6" x14ac:dyDescent="0.25">
      <c r="A86" s="1">
        <v>43524</v>
      </c>
      <c r="B86" s="2">
        <v>67590082470.122498</v>
      </c>
      <c r="C86" s="2">
        <v>14315746325.9</v>
      </c>
      <c r="D86" s="2">
        <v>2767898258.3840799</v>
      </c>
      <c r="E86" s="2">
        <v>2345277397.4400001</v>
      </c>
      <c r="F86" s="2">
        <v>713873573.18299997</v>
      </c>
    </row>
    <row r="87" spans="1:6" x14ac:dyDescent="0.25">
      <c r="A87" s="1">
        <v>43523</v>
      </c>
      <c r="B87" s="2">
        <v>67744872841.760002</v>
      </c>
      <c r="C87" s="2">
        <v>14497632344</v>
      </c>
      <c r="D87" s="2">
        <v>2760260182.2838898</v>
      </c>
      <c r="E87" s="2">
        <v>2370281472.1300001</v>
      </c>
      <c r="F87" s="2">
        <v>719939967.68499994</v>
      </c>
    </row>
    <row r="88" spans="1:6" x14ac:dyDescent="0.25">
      <c r="A88" s="1">
        <v>43522</v>
      </c>
      <c r="B88" s="2">
        <v>68110711262.090202</v>
      </c>
      <c r="C88" s="2">
        <v>14666298218</v>
      </c>
      <c r="D88" s="2">
        <v>2800806283.8848</v>
      </c>
      <c r="E88" s="2">
        <v>2396793074.5300002</v>
      </c>
      <c r="F88" s="2">
        <v>726602851.45200002</v>
      </c>
    </row>
    <row r="89" spans="1:6" x14ac:dyDescent="0.25">
      <c r="A89" s="1">
        <v>43521</v>
      </c>
      <c r="B89" s="2">
        <v>66844049271.475197</v>
      </c>
      <c r="C89" s="2">
        <v>14228951644.799999</v>
      </c>
      <c r="D89" s="2">
        <v>2703210210.78684</v>
      </c>
      <c r="E89" s="2">
        <v>2293799660.9699998</v>
      </c>
      <c r="F89" s="2">
        <v>704580330.57200003</v>
      </c>
    </row>
    <row r="90" spans="1:6" x14ac:dyDescent="0.25">
      <c r="A90" s="1">
        <v>43520</v>
      </c>
      <c r="B90" s="2">
        <v>72779408505.587494</v>
      </c>
      <c r="C90" s="2">
        <v>16684059876.799999</v>
      </c>
      <c r="D90" s="2">
        <v>3132676365.1136899</v>
      </c>
      <c r="E90" s="2">
        <v>2720088716.1399999</v>
      </c>
      <c r="F90" s="2">
        <v>779534590.01800001</v>
      </c>
    </row>
    <row r="91" spans="1:6" x14ac:dyDescent="0.25">
      <c r="A91" s="1">
        <v>43519</v>
      </c>
      <c r="B91" s="2">
        <v>70199836886.012894</v>
      </c>
      <c r="C91" s="2">
        <v>15608247021.5</v>
      </c>
      <c r="D91" s="2">
        <v>3010270210.3111401</v>
      </c>
      <c r="E91" s="2">
        <v>2555400100.7399998</v>
      </c>
      <c r="F91" s="2">
        <v>749498788.54200006</v>
      </c>
    </row>
    <row r="92" spans="1:6" x14ac:dyDescent="0.25">
      <c r="A92" s="1">
        <v>43518</v>
      </c>
      <c r="B92" s="2">
        <v>69376147290.062805</v>
      </c>
      <c r="C92" s="2">
        <v>15332952093.799999</v>
      </c>
      <c r="D92" s="2">
        <v>2976480787.0887299</v>
      </c>
      <c r="E92" s="2">
        <v>2518952136.04</v>
      </c>
      <c r="F92" s="2">
        <v>740118380.39600003</v>
      </c>
    </row>
    <row r="93" spans="1:6" x14ac:dyDescent="0.25">
      <c r="A93" s="1">
        <v>43517</v>
      </c>
      <c r="B93" s="2">
        <v>70208132042.226196</v>
      </c>
      <c r="C93" s="2">
        <v>15675102415.5</v>
      </c>
      <c r="D93" s="2">
        <v>3140292570.3943</v>
      </c>
      <c r="E93" s="2">
        <v>2608517293.98</v>
      </c>
      <c r="F93" s="2">
        <v>760372339.77999997</v>
      </c>
    </row>
    <row r="94" spans="1:6" x14ac:dyDescent="0.25">
      <c r="A94" s="1">
        <v>43516</v>
      </c>
      <c r="B94" s="2">
        <v>69261776135.866196</v>
      </c>
      <c r="C94" s="2">
        <v>15234805119.299999</v>
      </c>
      <c r="D94" s="2">
        <v>2895738583.8687</v>
      </c>
      <c r="E94" s="2">
        <v>2521079432.6399999</v>
      </c>
      <c r="F94" s="2">
        <v>762417148.95899999</v>
      </c>
    </row>
    <row r="95" spans="1:6" x14ac:dyDescent="0.25">
      <c r="A95" s="1">
        <v>43515</v>
      </c>
      <c r="B95" s="2">
        <v>68640955336.248901</v>
      </c>
      <c r="C95" s="2">
        <v>15361072646.6</v>
      </c>
      <c r="D95" s="2">
        <v>2914926000.00208</v>
      </c>
      <c r="E95" s="2">
        <v>2544448796.1599998</v>
      </c>
      <c r="F95" s="2">
        <v>748572213.15499997</v>
      </c>
    </row>
    <row r="96" spans="1:6" x14ac:dyDescent="0.25">
      <c r="A96" s="1">
        <v>43514</v>
      </c>
      <c r="B96" s="2">
        <v>64417241392.307297</v>
      </c>
      <c r="C96" s="2">
        <v>13956633917.1</v>
      </c>
      <c r="D96" s="2">
        <v>2656234187.9858398</v>
      </c>
      <c r="E96" s="2">
        <v>2203084255.21</v>
      </c>
      <c r="F96" s="2">
        <v>688848296.40199995</v>
      </c>
    </row>
    <row r="97" spans="1:6" x14ac:dyDescent="0.25">
      <c r="A97" s="1">
        <v>43513</v>
      </c>
      <c r="B97" s="2">
        <v>63743192949.847397</v>
      </c>
      <c r="C97" s="2">
        <v>12921633162.1</v>
      </c>
      <c r="D97" s="2">
        <v>2626252408.99157</v>
      </c>
      <c r="E97" s="2">
        <v>2154545519.1599998</v>
      </c>
      <c r="F97" s="2">
        <v>688099131.70200002</v>
      </c>
    </row>
    <row r="98" spans="1:6" x14ac:dyDescent="0.25">
      <c r="A98" s="1">
        <v>43512</v>
      </c>
      <c r="B98" s="2">
        <v>63418660983.034103</v>
      </c>
      <c r="C98" s="2">
        <v>12838346118.1</v>
      </c>
      <c r="D98" s="2">
        <v>2587279728.0789099</v>
      </c>
      <c r="E98" s="2">
        <v>2150527715.9299998</v>
      </c>
      <c r="F98" s="2">
        <v>683159527.81400001</v>
      </c>
    </row>
    <row r="99" spans="1:6" x14ac:dyDescent="0.25">
      <c r="A99" s="1">
        <v>43511</v>
      </c>
      <c r="B99" s="2">
        <v>63448773426.454597</v>
      </c>
      <c r="C99" s="2">
        <v>12737111785.700001</v>
      </c>
      <c r="D99" s="2">
        <v>2518594653.9906301</v>
      </c>
      <c r="E99" s="2">
        <v>2153328809.3000002</v>
      </c>
      <c r="F99" s="2">
        <v>678387282.44400001</v>
      </c>
    </row>
    <row r="100" spans="1:6" x14ac:dyDescent="0.25">
      <c r="A100" s="1">
        <v>43510</v>
      </c>
      <c r="B100" s="2">
        <v>63685110569.728798</v>
      </c>
      <c r="C100" s="2">
        <v>12837221666.5</v>
      </c>
      <c r="D100" s="2">
        <v>2532544213.3544598</v>
      </c>
      <c r="E100" s="2">
        <v>2169649757.6500001</v>
      </c>
      <c r="F100" s="2">
        <v>695487960.63399994</v>
      </c>
    </row>
    <row r="101" spans="1:6" x14ac:dyDescent="0.25">
      <c r="A101" s="1">
        <v>43509</v>
      </c>
      <c r="B101" s="2">
        <v>64071958914.508301</v>
      </c>
      <c r="C101" s="2">
        <v>12848557299.6</v>
      </c>
      <c r="D101" s="2">
        <v>2649647679.7821398</v>
      </c>
      <c r="E101" s="2">
        <v>2174055053.4000001</v>
      </c>
      <c r="F101" s="2">
        <v>713836315.90900004</v>
      </c>
    </row>
    <row r="102" spans="1:6" x14ac:dyDescent="0.25">
      <c r="A102" s="1">
        <v>43508</v>
      </c>
      <c r="B102" s="2">
        <v>63874730585.745102</v>
      </c>
      <c r="C102" s="2">
        <v>12704240624.6</v>
      </c>
      <c r="D102" s="2">
        <v>2609180964.57022</v>
      </c>
      <c r="E102" s="2">
        <v>2158548854.5599999</v>
      </c>
      <c r="F102" s="2">
        <v>691973264.88699996</v>
      </c>
    </row>
    <row r="103" spans="1:6" x14ac:dyDescent="0.25">
      <c r="A103" s="1">
        <v>43507</v>
      </c>
      <c r="B103" s="2">
        <v>64795603229.8283</v>
      </c>
      <c r="C103" s="2">
        <v>13089006223.4</v>
      </c>
      <c r="D103" s="2">
        <v>2832981995.2533498</v>
      </c>
      <c r="E103" s="2">
        <v>2249525238.29</v>
      </c>
      <c r="F103" s="2">
        <v>651414989.41299999</v>
      </c>
    </row>
    <row r="104" spans="1:6" x14ac:dyDescent="0.25">
      <c r="A104" s="1">
        <v>43506</v>
      </c>
      <c r="B104" s="2">
        <v>64396168252.369904</v>
      </c>
      <c r="C104" s="2">
        <v>12514927560.9</v>
      </c>
      <c r="D104" s="2">
        <v>2703891328.3613</v>
      </c>
      <c r="E104" s="2">
        <v>2265770505.4400001</v>
      </c>
      <c r="F104" s="2">
        <v>640200595.53100002</v>
      </c>
    </row>
    <row r="105" spans="1:6" x14ac:dyDescent="0.25">
      <c r="A105" s="1">
        <v>43505</v>
      </c>
      <c r="B105" s="2">
        <v>64361569025.900299</v>
      </c>
      <c r="C105" s="2">
        <v>12492814898.5</v>
      </c>
      <c r="D105" s="2">
        <v>2598297457.1373</v>
      </c>
      <c r="E105" s="2">
        <v>2288525310.3200002</v>
      </c>
      <c r="F105" s="2">
        <v>636835239.26800001</v>
      </c>
    </row>
    <row r="106" spans="1:6" x14ac:dyDescent="0.25">
      <c r="A106" s="1">
        <v>43504</v>
      </c>
      <c r="B106" s="2">
        <v>59618414743.381104</v>
      </c>
      <c r="C106" s="2">
        <v>10965081993.9</v>
      </c>
      <c r="D106" s="2">
        <v>2007338107.0768499</v>
      </c>
      <c r="E106" s="2">
        <v>2039089541.3</v>
      </c>
      <c r="F106" s="2">
        <v>579820810.08299994</v>
      </c>
    </row>
    <row r="107" spans="1:6" x14ac:dyDescent="0.25">
      <c r="A107" s="1">
        <v>43503</v>
      </c>
      <c r="B107" s="2">
        <v>59849023243.018898</v>
      </c>
      <c r="C107" s="2">
        <v>10983080769.200001</v>
      </c>
      <c r="D107" s="2">
        <v>1986880239.6944599</v>
      </c>
      <c r="E107" s="2">
        <v>2028268731.7</v>
      </c>
      <c r="F107" s="2">
        <v>566656561.87399995</v>
      </c>
    </row>
    <row r="108" spans="1:6" x14ac:dyDescent="0.25">
      <c r="A108" s="1">
        <v>43502</v>
      </c>
      <c r="B108" s="2">
        <v>60790557984.077103</v>
      </c>
      <c r="C108" s="2">
        <v>11267851727.299999</v>
      </c>
      <c r="D108" s="2">
        <v>2073350677.58426</v>
      </c>
      <c r="E108" s="2">
        <v>2077439678.52</v>
      </c>
      <c r="F108" s="2">
        <v>588840438.05799997</v>
      </c>
    </row>
    <row r="109" spans="1:6" x14ac:dyDescent="0.25">
      <c r="A109" s="1">
        <v>43501</v>
      </c>
      <c r="B109" s="2">
        <v>60535644041.523499</v>
      </c>
      <c r="C109" s="2">
        <v>11272935580.9</v>
      </c>
      <c r="D109" s="2">
        <v>2051944739.3263199</v>
      </c>
      <c r="E109" s="2">
        <v>2095678601.9100001</v>
      </c>
      <c r="F109" s="2">
        <v>575887343.86199999</v>
      </c>
    </row>
    <row r="110" spans="1:6" x14ac:dyDescent="0.25">
      <c r="A110" s="1">
        <v>43500</v>
      </c>
      <c r="B110" s="2">
        <v>60744291807.760201</v>
      </c>
      <c r="C110" s="2">
        <v>11271072460.1</v>
      </c>
      <c r="D110" s="2">
        <v>2018389334.44151</v>
      </c>
      <c r="E110" s="2">
        <v>2100277177.02</v>
      </c>
      <c r="F110" s="2">
        <v>577345808.449</v>
      </c>
    </row>
    <row r="111" spans="1:6" x14ac:dyDescent="0.25">
      <c r="A111" s="1">
        <v>43499</v>
      </c>
      <c r="B111" s="2">
        <v>61595050721.098701</v>
      </c>
      <c r="C111" s="2">
        <v>11568989341.4</v>
      </c>
      <c r="D111" s="2">
        <v>2076446991.52631</v>
      </c>
      <c r="E111" s="2">
        <v>2143765969.95</v>
      </c>
      <c r="F111" s="2">
        <v>585424786.15999997</v>
      </c>
    </row>
    <row r="112" spans="1:6" x14ac:dyDescent="0.25">
      <c r="A112" s="1">
        <v>43498</v>
      </c>
      <c r="B112" s="2">
        <v>61037008773.6717</v>
      </c>
      <c r="C112" s="2">
        <v>11250887223.9</v>
      </c>
      <c r="D112" s="2">
        <v>1979194700.6536701</v>
      </c>
      <c r="E112" s="2">
        <v>2051367676.1500001</v>
      </c>
      <c r="F112" s="2">
        <v>580207597.73399997</v>
      </c>
    </row>
    <row r="113" spans="1:6" x14ac:dyDescent="0.25">
      <c r="A113" s="1">
        <v>43497</v>
      </c>
      <c r="B113" s="2">
        <v>60608857675.706299</v>
      </c>
      <c r="C113" s="2">
        <v>11215666226.299999</v>
      </c>
      <c r="D113" s="2">
        <v>1911950719.0094399</v>
      </c>
      <c r="E113" s="2">
        <v>2020292693.5999999</v>
      </c>
      <c r="F113" s="2">
        <v>588298610.847</v>
      </c>
    </row>
    <row r="114" spans="1:6" x14ac:dyDescent="0.25">
      <c r="A114" s="1">
        <v>43496</v>
      </c>
      <c r="B114" s="2">
        <v>61037594037.2911</v>
      </c>
      <c r="C114" s="2">
        <v>11397307081.700001</v>
      </c>
      <c r="D114" s="2">
        <v>1922052674.9080501</v>
      </c>
      <c r="E114" s="2">
        <v>2079267925.6099999</v>
      </c>
      <c r="F114" s="2">
        <v>596107377.03900003</v>
      </c>
    </row>
    <row r="115" spans="1:6" x14ac:dyDescent="0.25">
      <c r="A115" s="1">
        <v>43495</v>
      </c>
      <c r="B115" s="2">
        <v>60303924652.170998</v>
      </c>
      <c r="C115" s="2">
        <v>11030044271.1</v>
      </c>
      <c r="D115" s="2">
        <v>1872126345.25336</v>
      </c>
      <c r="E115" s="2">
        <v>1952386669.4200001</v>
      </c>
      <c r="F115" s="2">
        <v>586012093.39600003</v>
      </c>
    </row>
    <row r="116" spans="1:6" x14ac:dyDescent="0.25">
      <c r="A116" s="1">
        <v>43494</v>
      </c>
      <c r="B116" s="2">
        <v>60735178272.739304</v>
      </c>
      <c r="C116" s="2">
        <v>11165526783.5</v>
      </c>
      <c r="D116" s="2">
        <v>1881678668.8745899</v>
      </c>
      <c r="E116" s="2">
        <v>1974871407.6700001</v>
      </c>
      <c r="F116" s="2">
        <v>585370669.29200006</v>
      </c>
    </row>
    <row r="117" spans="1:6" x14ac:dyDescent="0.25">
      <c r="A117" s="1">
        <v>43493</v>
      </c>
      <c r="B117" s="2">
        <v>62749372515.1101</v>
      </c>
      <c r="C117" s="2">
        <v>11851354116</v>
      </c>
      <c r="D117" s="2">
        <v>1958422067.65769</v>
      </c>
      <c r="E117" s="2">
        <v>2164394743.54</v>
      </c>
      <c r="F117" s="2">
        <v>614054962.85899997</v>
      </c>
    </row>
    <row r="118" spans="1:6" x14ac:dyDescent="0.25">
      <c r="A118" s="1">
        <v>43492</v>
      </c>
      <c r="B118" s="2">
        <v>63099976994.867699</v>
      </c>
      <c r="C118" s="2">
        <v>12185904100</v>
      </c>
      <c r="D118" s="2">
        <v>1991991270.2338099</v>
      </c>
      <c r="E118" s="2">
        <v>2236750184.8000002</v>
      </c>
      <c r="F118" s="2">
        <v>637360358.29900002</v>
      </c>
    </row>
    <row r="119" spans="1:6" x14ac:dyDescent="0.25">
      <c r="A119" s="1">
        <v>43491</v>
      </c>
      <c r="B119" s="2">
        <v>63006939950.780899</v>
      </c>
      <c r="C119" s="2">
        <v>12169788739.700001</v>
      </c>
      <c r="D119" s="2">
        <v>1984695237.1963799</v>
      </c>
      <c r="E119" s="2">
        <v>2259006469.96</v>
      </c>
      <c r="F119" s="2">
        <v>633838753.977</v>
      </c>
    </row>
    <row r="120" spans="1:6" x14ac:dyDescent="0.25">
      <c r="A120" s="1">
        <v>43490</v>
      </c>
      <c r="B120" s="2">
        <v>63134346515.099602</v>
      </c>
      <c r="C120" s="2">
        <v>12295452390.1</v>
      </c>
      <c r="D120" s="2">
        <v>1975243214.8671899</v>
      </c>
      <c r="E120" s="2">
        <v>2277775976.8000002</v>
      </c>
      <c r="F120" s="2">
        <v>628993863.56400001</v>
      </c>
    </row>
    <row r="121" spans="1:6" x14ac:dyDescent="0.25">
      <c r="A121" s="1">
        <v>43489</v>
      </c>
      <c r="B121" s="2">
        <v>62727596280.902603</v>
      </c>
      <c r="C121" s="2">
        <v>12280447354.700001</v>
      </c>
      <c r="D121" s="2">
        <v>1927481811.8145199</v>
      </c>
      <c r="E121" s="2">
        <v>2324777559.5300002</v>
      </c>
      <c r="F121" s="2">
        <v>610258083.20200002</v>
      </c>
    </row>
    <row r="122" spans="1:6" x14ac:dyDescent="0.25">
      <c r="A122" s="1">
        <v>43488</v>
      </c>
      <c r="B122" s="2">
        <v>63089014300.182999</v>
      </c>
      <c r="C122" s="2">
        <v>12409194321.200001</v>
      </c>
      <c r="D122" s="2">
        <v>1905113750.9324999</v>
      </c>
      <c r="E122" s="2">
        <v>2258325200.9400001</v>
      </c>
      <c r="F122" s="2">
        <v>616225855.14300001</v>
      </c>
    </row>
    <row r="123" spans="1:6" x14ac:dyDescent="0.25">
      <c r="A123" s="1">
        <v>43487</v>
      </c>
      <c r="B123" s="2">
        <v>62549012271.042297</v>
      </c>
      <c r="C123" s="2">
        <v>12239570182.299999</v>
      </c>
      <c r="D123" s="2">
        <v>1877123956.4911599</v>
      </c>
      <c r="E123" s="2">
        <v>2157346492.3400002</v>
      </c>
      <c r="F123" s="2">
        <v>600076282.93799996</v>
      </c>
    </row>
    <row r="124" spans="1:6" x14ac:dyDescent="0.25">
      <c r="A124" s="1">
        <v>43486</v>
      </c>
      <c r="B124" s="2">
        <v>62985679022.535103</v>
      </c>
      <c r="C124" s="2">
        <v>12502094274.200001</v>
      </c>
      <c r="D124" s="2">
        <v>1875371375.43031</v>
      </c>
      <c r="E124" s="2">
        <v>2178415239.8200002</v>
      </c>
      <c r="F124" s="2">
        <v>600997126.09099996</v>
      </c>
    </row>
    <row r="125" spans="1:6" x14ac:dyDescent="0.25">
      <c r="A125" s="1">
        <v>43485</v>
      </c>
      <c r="B125" s="2">
        <v>65166891871.2743</v>
      </c>
      <c r="C125" s="2">
        <v>13022292237.700001</v>
      </c>
      <c r="D125" s="2">
        <v>1952686349.95381</v>
      </c>
      <c r="E125" s="2">
        <v>2287454361.5</v>
      </c>
      <c r="F125" s="2">
        <v>633758489.64600003</v>
      </c>
    </row>
    <row r="126" spans="1:6" x14ac:dyDescent="0.25">
      <c r="A126" s="1">
        <v>43484</v>
      </c>
      <c r="B126" s="2">
        <v>63881511657.836197</v>
      </c>
      <c r="C126" s="2">
        <v>12703962325.9</v>
      </c>
      <c r="D126" s="2">
        <v>1891799691.96559</v>
      </c>
      <c r="E126" s="2">
        <v>2259427331.4400001</v>
      </c>
      <c r="F126" s="2">
        <v>615137227.52600002</v>
      </c>
    </row>
    <row r="127" spans="1:6" x14ac:dyDescent="0.25">
      <c r="A127" s="1">
        <v>43483</v>
      </c>
      <c r="B127" s="2">
        <v>64323389863.117897</v>
      </c>
      <c r="C127" s="2">
        <v>12914977045.4</v>
      </c>
      <c r="D127" s="2">
        <v>1917225487.7390599</v>
      </c>
      <c r="E127" s="2">
        <v>2303694667.0799999</v>
      </c>
      <c r="F127" s="2">
        <v>620927485.65799999</v>
      </c>
    </row>
    <row r="128" spans="1:6" x14ac:dyDescent="0.25">
      <c r="A128" s="1">
        <v>43482</v>
      </c>
      <c r="B128" s="2">
        <v>63860319720.484802</v>
      </c>
      <c r="C128" s="2">
        <v>12904593983.9</v>
      </c>
      <c r="D128" s="2">
        <v>1912969373.68924</v>
      </c>
      <c r="E128" s="2">
        <v>2270372874.8800001</v>
      </c>
      <c r="F128" s="2">
        <v>613519557.22099996</v>
      </c>
    </row>
    <row r="129" spans="1:6" x14ac:dyDescent="0.25">
      <c r="A129" s="1">
        <v>43481</v>
      </c>
      <c r="B129" s="2">
        <v>63498441638.608803</v>
      </c>
      <c r="C129" s="2">
        <v>12718139483.799999</v>
      </c>
      <c r="D129" s="2">
        <v>1888155068.3419199</v>
      </c>
      <c r="E129" s="2">
        <v>2261074880.4000001</v>
      </c>
      <c r="F129" s="2">
        <v>605521448.95700002</v>
      </c>
    </row>
    <row r="130" spans="1:6" x14ac:dyDescent="0.25">
      <c r="A130" s="1">
        <v>43480</v>
      </c>
      <c r="B130" s="2">
        <v>64763571242.876503</v>
      </c>
      <c r="C130" s="2">
        <v>13484936967.799999</v>
      </c>
      <c r="D130" s="2">
        <v>1943746031.3849499</v>
      </c>
      <c r="E130" s="2">
        <v>2353626902.79</v>
      </c>
      <c r="F130" s="2">
        <v>624780566.34300005</v>
      </c>
    </row>
    <row r="131" spans="1:6" x14ac:dyDescent="0.25">
      <c r="A131" s="1">
        <v>43479</v>
      </c>
      <c r="B131" s="2">
        <v>62189329098.207901</v>
      </c>
      <c r="C131" s="2">
        <v>12209854162.4</v>
      </c>
      <c r="D131" s="2">
        <v>1823361686.39431</v>
      </c>
      <c r="E131" s="2">
        <v>2221814633.7800002</v>
      </c>
      <c r="F131" s="2">
        <v>603453837.51100004</v>
      </c>
    </row>
    <row r="132" spans="1:6" x14ac:dyDescent="0.25">
      <c r="A132" s="1">
        <v>43478</v>
      </c>
      <c r="B132" s="2">
        <v>63957969972.6063</v>
      </c>
      <c r="C132" s="2">
        <v>13139541603.1</v>
      </c>
      <c r="D132" s="2">
        <v>1944443263.6201701</v>
      </c>
      <c r="E132" s="2">
        <v>2362443612.6799998</v>
      </c>
      <c r="F132" s="2">
        <v>630611229.29100001</v>
      </c>
    </row>
    <row r="133" spans="1:6" x14ac:dyDescent="0.25">
      <c r="A133" s="1">
        <v>43477</v>
      </c>
      <c r="B133" s="2">
        <v>64442814740.039703</v>
      </c>
      <c r="C133" s="2">
        <v>13306193269.1</v>
      </c>
      <c r="D133" s="2">
        <v>1947661004.3495901</v>
      </c>
      <c r="E133" s="2">
        <v>2309557689.1300001</v>
      </c>
      <c r="F133" s="2">
        <v>632751983.57200003</v>
      </c>
    </row>
    <row r="134" spans="1:6" x14ac:dyDescent="0.25">
      <c r="A134" s="1">
        <v>43476</v>
      </c>
      <c r="B134" s="2">
        <v>64209986296.433601</v>
      </c>
      <c r="C134" s="2">
        <v>13333337737.9</v>
      </c>
      <c r="D134" s="2">
        <v>2019909213.4834499</v>
      </c>
      <c r="E134" s="2">
        <v>2351583078.5100002</v>
      </c>
      <c r="F134" s="2">
        <v>630327892.38499999</v>
      </c>
    </row>
    <row r="135" spans="1:6" x14ac:dyDescent="0.25">
      <c r="A135" s="1">
        <v>43475</v>
      </c>
      <c r="B135" s="2">
        <v>70501101878.977295</v>
      </c>
      <c r="C135" s="2">
        <v>15732793682.299999</v>
      </c>
      <c r="D135" s="2">
        <v>2337640877.56775</v>
      </c>
      <c r="E135" s="2">
        <v>2814343751.75</v>
      </c>
      <c r="F135" s="2">
        <v>734977574.81599998</v>
      </c>
    </row>
    <row r="136" spans="1:6" x14ac:dyDescent="0.25">
      <c r="A136" s="1">
        <v>43474</v>
      </c>
      <c r="B136" s="2">
        <v>70443209767.955597</v>
      </c>
      <c r="C136" s="2">
        <v>15700773354.1</v>
      </c>
      <c r="D136" s="2">
        <v>2364641252.22364</v>
      </c>
      <c r="E136" s="2">
        <v>2846516392.02</v>
      </c>
      <c r="F136" s="2">
        <v>699103309.66999996</v>
      </c>
    </row>
    <row r="137" spans="1:6" x14ac:dyDescent="0.25">
      <c r="A137" s="1">
        <v>43473</v>
      </c>
      <c r="B137" s="2">
        <v>70381163013.638107</v>
      </c>
      <c r="C137" s="2">
        <v>15845763024.799999</v>
      </c>
      <c r="D137" s="2">
        <v>2272646373.26443</v>
      </c>
      <c r="E137" s="2">
        <v>2833558112.71</v>
      </c>
      <c r="F137" s="2">
        <v>714098850.83500004</v>
      </c>
    </row>
    <row r="138" spans="1:6" x14ac:dyDescent="0.25">
      <c r="A138" s="1">
        <v>43472</v>
      </c>
      <c r="B138" s="2">
        <v>71248091615.559799</v>
      </c>
      <c r="C138" s="2">
        <v>16451841964.9</v>
      </c>
      <c r="D138" s="2">
        <v>2353355998.9970899</v>
      </c>
      <c r="E138" s="2">
        <v>2928950886.6700001</v>
      </c>
      <c r="F138" s="2">
        <v>735770877.34599996</v>
      </c>
    </row>
    <row r="139" spans="1:6" x14ac:dyDescent="0.25">
      <c r="A139" s="1">
        <v>43471</v>
      </c>
      <c r="B139" s="2">
        <v>67012776834.285004</v>
      </c>
      <c r="C139" s="2">
        <v>16239178796.700001</v>
      </c>
      <c r="D139" s="2">
        <v>2087617156.6119499</v>
      </c>
      <c r="E139" s="2">
        <v>2811720900.29</v>
      </c>
      <c r="F139" s="2">
        <v>689210487.70200002</v>
      </c>
    </row>
    <row r="140" spans="1:6" x14ac:dyDescent="0.25">
      <c r="A140" s="1">
        <v>43470</v>
      </c>
      <c r="B140" s="2">
        <v>67275985975.853401</v>
      </c>
      <c r="C140" s="2">
        <v>16084495644.700001</v>
      </c>
      <c r="D140" s="2">
        <v>1937264571.23926</v>
      </c>
      <c r="E140" s="2">
        <v>2828100931.3600001</v>
      </c>
      <c r="F140" s="2">
        <v>692859007.38300002</v>
      </c>
    </row>
    <row r="141" spans="1:6" x14ac:dyDescent="0.25">
      <c r="A141" s="1">
        <v>43469</v>
      </c>
      <c r="B141" s="2">
        <v>66919877208.6465</v>
      </c>
      <c r="C141" s="2">
        <v>15516260251.799999</v>
      </c>
      <c r="D141" s="2">
        <v>1917449029.94753</v>
      </c>
      <c r="E141" s="2">
        <v>2837697206.4099998</v>
      </c>
      <c r="F141" s="2">
        <v>691502405.43799996</v>
      </c>
    </row>
    <row r="142" spans="1:6" x14ac:dyDescent="0.25">
      <c r="A142" s="1">
        <v>43468</v>
      </c>
      <c r="B142" s="2">
        <v>68641707234.719597</v>
      </c>
      <c r="C142" s="2">
        <v>16168158174</v>
      </c>
      <c r="D142" s="2">
        <v>1996137016.0755501</v>
      </c>
      <c r="E142" s="2">
        <v>3040330539.5900002</v>
      </c>
      <c r="F142" s="2">
        <v>717202637.70000005</v>
      </c>
    </row>
    <row r="143" spans="1:6" x14ac:dyDescent="0.25">
      <c r="A143" s="1">
        <v>43467</v>
      </c>
      <c r="B143" s="2">
        <v>67205349058.289398</v>
      </c>
      <c r="C143" s="2">
        <v>14740761445.5</v>
      </c>
      <c r="D143" s="2">
        <v>1916468040.7233</v>
      </c>
      <c r="E143" s="2">
        <v>2905779186.1599998</v>
      </c>
      <c r="F143" s="2">
        <v>694916879.10399997</v>
      </c>
    </row>
    <row r="144" spans="1:6" x14ac:dyDescent="0.25">
      <c r="A144" s="1">
        <v>43466</v>
      </c>
      <c r="B144" s="2">
        <v>65408563939.382202</v>
      </c>
      <c r="C144" s="2">
        <v>13894665366.6</v>
      </c>
      <c r="D144" s="2">
        <v>1822444539.27579</v>
      </c>
      <c r="E144" s="2">
        <v>2647352259.9200001</v>
      </c>
      <c r="F144" s="2">
        <v>676388609.00800002</v>
      </c>
    </row>
    <row r="145" spans="1:6" x14ac:dyDescent="0.25">
      <c r="A145" s="1">
        <v>43465</v>
      </c>
      <c r="B145" s="2">
        <v>67498451439.901802</v>
      </c>
      <c r="C145" s="2">
        <v>14580294574</v>
      </c>
      <c r="D145" s="2">
        <v>1912822574.8532901</v>
      </c>
      <c r="E145" s="2">
        <v>2868292044.9000001</v>
      </c>
      <c r="F145" s="2">
        <v>698680742.11600006</v>
      </c>
    </row>
    <row r="146" spans="1:6" x14ac:dyDescent="0.25">
      <c r="A146" s="1">
        <v>43464</v>
      </c>
      <c r="B146" s="2">
        <v>66715050820.540398</v>
      </c>
      <c r="C146" s="2">
        <v>14327912907.700001</v>
      </c>
      <c r="D146" s="2">
        <v>1878778105.6960599</v>
      </c>
      <c r="E146" s="2">
        <v>2896739718.77</v>
      </c>
      <c r="F146" s="2">
        <v>684690973.227</v>
      </c>
    </row>
    <row r="147" spans="1:6" x14ac:dyDescent="0.25">
      <c r="A147" s="1">
        <v>43463</v>
      </c>
      <c r="B147" s="2">
        <v>68628218811.303802</v>
      </c>
      <c r="C147" s="2">
        <v>14412635398.700001</v>
      </c>
      <c r="D147" s="2">
        <v>1946358200.13937</v>
      </c>
      <c r="E147" s="2">
        <v>3059859175.77</v>
      </c>
      <c r="F147" s="2">
        <v>719808334.36000001</v>
      </c>
    </row>
    <row r="148" spans="1:6" x14ac:dyDescent="0.25">
      <c r="A148" s="1">
        <v>43462</v>
      </c>
      <c r="B148" s="2">
        <v>63746591530.839798</v>
      </c>
      <c r="C148" s="2">
        <v>12165168176.5</v>
      </c>
      <c r="D148" s="2">
        <v>1691610162.0639801</v>
      </c>
      <c r="E148" s="2">
        <v>2640247828.4299998</v>
      </c>
      <c r="F148" s="2">
        <v>650596945.278</v>
      </c>
    </row>
    <row r="149" spans="1:6" x14ac:dyDescent="0.25">
      <c r="A149" s="1">
        <v>43461</v>
      </c>
      <c r="B149" s="2">
        <v>67255875186.986397</v>
      </c>
      <c r="C149" s="2">
        <v>13725533932.5</v>
      </c>
      <c r="D149" s="2">
        <v>1850433736.18663</v>
      </c>
      <c r="E149" s="2">
        <v>3075626604.1700001</v>
      </c>
      <c r="F149" s="2">
        <v>720005956.57799995</v>
      </c>
    </row>
    <row r="150" spans="1:6" x14ac:dyDescent="0.25">
      <c r="A150" s="1">
        <v>43460</v>
      </c>
      <c r="B150" s="2">
        <v>66636342448.312698</v>
      </c>
      <c r="C150" s="2">
        <v>13511887620.9</v>
      </c>
      <c r="D150" s="2">
        <v>1857210305.10584</v>
      </c>
      <c r="E150" s="2">
        <v>3016657945.2800002</v>
      </c>
      <c r="F150" s="2">
        <v>716301982.49600005</v>
      </c>
    </row>
    <row r="151" spans="1:6" x14ac:dyDescent="0.25">
      <c r="A151" s="1">
        <v>43459</v>
      </c>
      <c r="B151" s="2">
        <v>71188017281.116394</v>
      </c>
      <c r="C151" s="2">
        <v>14665877925.799999</v>
      </c>
      <c r="D151" s="2">
        <v>1995270499.6080899</v>
      </c>
      <c r="E151" s="2">
        <v>3208643207.0999999</v>
      </c>
      <c r="F151" s="2">
        <v>790811446.11300004</v>
      </c>
    </row>
    <row r="152" spans="1:6" x14ac:dyDescent="0.25">
      <c r="A152" s="1">
        <v>43458</v>
      </c>
      <c r="B152" s="2">
        <v>69772389973.773895</v>
      </c>
      <c r="C152" s="2">
        <v>13585160761.200001</v>
      </c>
      <c r="D152" s="2">
        <v>1998516771.1129501</v>
      </c>
      <c r="E152" s="2">
        <v>3506299491.6300001</v>
      </c>
      <c r="F152" s="2">
        <v>769563052.24199998</v>
      </c>
    </row>
    <row r="153" spans="1:6" x14ac:dyDescent="0.25">
      <c r="A153" s="1">
        <v>43457</v>
      </c>
      <c r="B153" s="2">
        <v>70125066347.314194</v>
      </c>
      <c r="C153" s="2">
        <v>12192320519.5</v>
      </c>
      <c r="D153" s="2">
        <v>1909869496.3682001</v>
      </c>
      <c r="E153" s="2">
        <v>3468499636.8499999</v>
      </c>
      <c r="F153" s="2">
        <v>746663528.11500001</v>
      </c>
    </row>
    <row r="154" spans="1:6" x14ac:dyDescent="0.25">
      <c r="A154" s="1">
        <v>43456</v>
      </c>
      <c r="B154" s="2">
        <v>67973007472.154602</v>
      </c>
      <c r="C154" s="2">
        <v>11378629170.6</v>
      </c>
      <c r="D154" s="2">
        <v>1839939799.6045101</v>
      </c>
      <c r="E154" s="2">
        <v>3440206213.1799998</v>
      </c>
      <c r="F154" s="2">
        <v>730212246.61500001</v>
      </c>
    </row>
    <row r="155" spans="1:6" x14ac:dyDescent="0.25">
      <c r="A155" s="1">
        <v>43455</v>
      </c>
      <c r="B155" s="2">
        <v>72072624651.381302</v>
      </c>
      <c r="C155" s="2">
        <v>12039275075.700001</v>
      </c>
      <c r="D155" s="2">
        <v>1952884860.6107099</v>
      </c>
      <c r="E155" s="2">
        <v>3337824574.9200001</v>
      </c>
      <c r="F155" s="2">
        <v>822234999.86699998</v>
      </c>
    </row>
    <row r="156" spans="1:6" x14ac:dyDescent="0.25">
      <c r="A156" s="1">
        <v>43454</v>
      </c>
      <c r="B156" s="2">
        <v>65240081810.314301</v>
      </c>
      <c r="C156" s="2">
        <v>10504482928.9</v>
      </c>
      <c r="D156" s="2">
        <v>1765665285.3625801</v>
      </c>
      <c r="E156" s="2">
        <v>2212675022.3400002</v>
      </c>
      <c r="F156" s="2">
        <v>632173377.39300001</v>
      </c>
    </row>
    <row r="157" spans="1:6" x14ac:dyDescent="0.25">
      <c r="A157" s="1">
        <v>43453</v>
      </c>
      <c r="B157" s="2">
        <v>64617021420.492401</v>
      </c>
      <c r="C157" s="2">
        <v>10564013308.9</v>
      </c>
      <c r="D157" s="2">
        <v>1809055957.20889</v>
      </c>
      <c r="E157" s="2">
        <v>1847278879.5</v>
      </c>
      <c r="F157" s="2">
        <v>626900677.58800006</v>
      </c>
    </row>
    <row r="158" spans="1:6" x14ac:dyDescent="0.25">
      <c r="A158" s="1">
        <v>43452</v>
      </c>
      <c r="B158" s="2">
        <v>61785418075.862602</v>
      </c>
      <c r="C158" s="2">
        <v>9880016404.7800007</v>
      </c>
      <c r="D158" s="2">
        <v>1745376046.2577901</v>
      </c>
      <c r="E158" s="2">
        <v>1582054193.26</v>
      </c>
      <c r="F158" s="2">
        <v>606865005.69700003</v>
      </c>
    </row>
    <row r="159" spans="1:6" x14ac:dyDescent="0.25">
      <c r="A159" s="1">
        <v>43451</v>
      </c>
      <c r="B159" s="2">
        <v>56696915384.141899</v>
      </c>
      <c r="C159" s="2">
        <v>8867795161.2099991</v>
      </c>
      <c r="D159" s="2">
        <v>1530802170.6293099</v>
      </c>
      <c r="E159" s="2">
        <v>1428002617.1099999</v>
      </c>
      <c r="F159" s="2">
        <v>537817189.12300003</v>
      </c>
    </row>
    <row r="160" spans="1:6" x14ac:dyDescent="0.25">
      <c r="A160" s="1">
        <v>43450</v>
      </c>
      <c r="B160" s="2">
        <v>56396680453.965698</v>
      </c>
      <c r="C160" s="2">
        <v>8771532145.9099998</v>
      </c>
      <c r="D160" s="2">
        <v>1417716713.55234</v>
      </c>
      <c r="E160" s="2">
        <v>1355051432.4000001</v>
      </c>
      <c r="F160" s="2">
        <v>531929085.57499999</v>
      </c>
    </row>
    <row r="161" spans="1:6" x14ac:dyDescent="0.25">
      <c r="A161" s="1">
        <v>43449</v>
      </c>
      <c r="B161" s="2">
        <v>56526848756.997704</v>
      </c>
      <c r="C161" s="2">
        <v>8750026777.4799995</v>
      </c>
      <c r="D161" s="2">
        <v>1398028568.6089101</v>
      </c>
      <c r="E161" s="2">
        <v>1406691313.3099999</v>
      </c>
      <c r="F161" s="2">
        <v>508356280.81</v>
      </c>
    </row>
    <row r="162" spans="1:6" x14ac:dyDescent="0.25">
      <c r="A162" s="1">
        <v>43448</v>
      </c>
      <c r="B162" s="2">
        <v>57701284562.038803</v>
      </c>
      <c r="C162" s="2">
        <v>8992020918.7900009</v>
      </c>
      <c r="D162" s="2">
        <v>1409139389.5652101</v>
      </c>
      <c r="E162" s="2">
        <v>1580169093.6099999</v>
      </c>
      <c r="F162" s="2">
        <v>520470351.00700003</v>
      </c>
    </row>
    <row r="163" spans="1:6" x14ac:dyDescent="0.25">
      <c r="A163" s="1">
        <v>43447</v>
      </c>
      <c r="B163" s="2">
        <v>60763482609.914597</v>
      </c>
      <c r="C163" s="2">
        <v>9408681540.4300003</v>
      </c>
      <c r="D163" s="2">
        <v>1460881789.2336199</v>
      </c>
      <c r="E163" s="2">
        <v>1793470352.9000001</v>
      </c>
      <c r="F163" s="2">
        <v>557587981.78799999</v>
      </c>
    </row>
    <row r="164" spans="1:6" x14ac:dyDescent="0.25">
      <c r="A164" s="1">
        <v>43446</v>
      </c>
      <c r="B164" s="2">
        <v>59600809225.839699</v>
      </c>
      <c r="C164" s="2">
        <v>9194589923.2099991</v>
      </c>
      <c r="D164" s="2">
        <v>1417354353.2952199</v>
      </c>
      <c r="E164" s="2">
        <v>1780677008.5799999</v>
      </c>
      <c r="F164" s="2">
        <v>544407989.45700002</v>
      </c>
    </row>
    <row r="165" spans="1:6" x14ac:dyDescent="0.25">
      <c r="A165" s="1">
        <v>43445</v>
      </c>
      <c r="B165" s="2">
        <v>60921033135.149002</v>
      </c>
      <c r="C165" s="2">
        <v>9500126266.8999996</v>
      </c>
      <c r="D165" s="2">
        <v>1464569755.73949</v>
      </c>
      <c r="E165" s="2">
        <v>1873997863.8199999</v>
      </c>
      <c r="F165" s="2">
        <v>584821774.32500005</v>
      </c>
    </row>
    <row r="166" spans="1:6" x14ac:dyDescent="0.25">
      <c r="A166" s="1">
        <v>43444</v>
      </c>
      <c r="B166" s="2">
        <v>62909648412.715797</v>
      </c>
      <c r="C166" s="2">
        <v>9852082580.0200005</v>
      </c>
      <c r="D166" s="2">
        <v>1541938389.1803401</v>
      </c>
      <c r="E166" s="2">
        <v>1918469449.76</v>
      </c>
      <c r="F166" s="2">
        <v>649068391.90999997</v>
      </c>
    </row>
    <row r="167" spans="1:6" x14ac:dyDescent="0.25">
      <c r="A167" s="1">
        <v>43443</v>
      </c>
      <c r="B167" s="2">
        <v>60486632450.053596</v>
      </c>
      <c r="C167" s="2">
        <v>9544931805.0599995</v>
      </c>
      <c r="D167" s="2">
        <v>1475498715.6531701</v>
      </c>
      <c r="E167" s="2">
        <v>1815416070.72</v>
      </c>
      <c r="F167" s="2">
        <v>584598818.39199996</v>
      </c>
    </row>
    <row r="168" spans="1:6" x14ac:dyDescent="0.25">
      <c r="A168" s="1">
        <v>43442</v>
      </c>
      <c r="B168" s="2">
        <v>59587466116.540802</v>
      </c>
      <c r="C168" s="2">
        <v>9684930375.8199997</v>
      </c>
      <c r="D168" s="2">
        <v>1495202510.9332199</v>
      </c>
      <c r="E168" s="2">
        <v>1859139821.5</v>
      </c>
      <c r="F168" s="2">
        <v>575743395.00600004</v>
      </c>
    </row>
    <row r="169" spans="1:6" x14ac:dyDescent="0.25">
      <c r="A169" s="1">
        <v>43441</v>
      </c>
      <c r="B169" s="2">
        <v>61160857904.181602</v>
      </c>
      <c r="C169" s="2">
        <v>9501162087.9500008</v>
      </c>
      <c r="D169" s="2">
        <v>1600659320.8231101</v>
      </c>
      <c r="E169" s="2">
        <v>1880933498.49</v>
      </c>
      <c r="F169" s="2">
        <v>561173931.55200005</v>
      </c>
    </row>
    <row r="170" spans="1:6" x14ac:dyDescent="0.25">
      <c r="A170" s="1">
        <v>43440</v>
      </c>
      <c r="B170" s="2">
        <v>65360080030.279602</v>
      </c>
      <c r="C170" s="2">
        <v>10618376543</v>
      </c>
      <c r="D170" s="2">
        <v>1739518419.0701499</v>
      </c>
      <c r="E170" s="2">
        <v>2283694765.6700001</v>
      </c>
      <c r="F170" s="2">
        <v>661348716.38699996</v>
      </c>
    </row>
    <row r="171" spans="1:6" x14ac:dyDescent="0.25">
      <c r="A171" s="1">
        <v>43439</v>
      </c>
      <c r="B171" s="2">
        <v>68919561378.593704</v>
      </c>
      <c r="C171" s="2">
        <v>11433330127.700001</v>
      </c>
      <c r="D171" s="2">
        <v>1855693503.27372</v>
      </c>
      <c r="E171" s="2">
        <v>2621605677.4000001</v>
      </c>
      <c r="F171" s="2">
        <v>726773694.18799996</v>
      </c>
    </row>
    <row r="172" spans="1:6" x14ac:dyDescent="0.25">
      <c r="A172" s="1">
        <v>43438</v>
      </c>
      <c r="B172" s="2">
        <v>67649345768.9105</v>
      </c>
      <c r="C172" s="2">
        <v>11272530046.799999</v>
      </c>
      <c r="D172" s="2">
        <v>1842845308.5123401</v>
      </c>
      <c r="E172" s="2">
        <v>2792557373.98</v>
      </c>
      <c r="F172" s="2">
        <v>718742213.08700001</v>
      </c>
    </row>
    <row r="173" spans="1:6" x14ac:dyDescent="0.25">
      <c r="A173" s="1">
        <v>43437</v>
      </c>
      <c r="B173" s="2">
        <v>72185933790.3573</v>
      </c>
      <c r="C173" s="2">
        <v>12054578437.5</v>
      </c>
      <c r="D173" s="2">
        <v>2009142200.2709999</v>
      </c>
      <c r="E173" s="2">
        <v>3014059308.0300002</v>
      </c>
      <c r="F173" s="2">
        <v>792453080.48399997</v>
      </c>
    </row>
    <row r="174" spans="1:6" x14ac:dyDescent="0.25">
      <c r="A174" s="1">
        <v>43436</v>
      </c>
      <c r="B174" s="2">
        <v>73109521140.970093</v>
      </c>
      <c r="C174" s="2">
        <v>12248470104.799999</v>
      </c>
      <c r="D174" s="2">
        <v>2035381124.0913601</v>
      </c>
      <c r="E174" s="2">
        <v>3007221370.1300001</v>
      </c>
      <c r="F174" s="2">
        <v>806800502.70500004</v>
      </c>
    </row>
    <row r="175" spans="1:6" x14ac:dyDescent="0.25">
      <c r="A175" s="1">
        <v>43435</v>
      </c>
      <c r="B175" s="2">
        <v>70036047378.547195</v>
      </c>
      <c r="C175" s="2">
        <v>11741562095.4</v>
      </c>
      <c r="D175" s="2">
        <v>1908220349.45049</v>
      </c>
      <c r="E175" s="2">
        <v>3017066153.3800001</v>
      </c>
      <c r="F175" s="2">
        <v>780237921.546</v>
      </c>
    </row>
    <row r="176" spans="1:6" x14ac:dyDescent="0.25">
      <c r="A176" s="1">
        <v>43434</v>
      </c>
      <c r="B176" s="2">
        <v>74634585121.727997</v>
      </c>
      <c r="C176" s="2">
        <v>12188176999.4</v>
      </c>
      <c r="D176" s="2">
        <v>2007179026.04491</v>
      </c>
      <c r="E176" s="2">
        <v>3166503226.9299998</v>
      </c>
      <c r="F176" s="2">
        <v>820346056.324</v>
      </c>
    </row>
    <row r="177" spans="1:6" x14ac:dyDescent="0.25">
      <c r="A177" s="1">
        <v>43433</v>
      </c>
      <c r="B177" s="2">
        <v>74279629167.033798</v>
      </c>
      <c r="C177" s="2">
        <v>12702455113</v>
      </c>
      <c r="D177" s="2">
        <v>2060849539.2899401</v>
      </c>
      <c r="E177" s="2">
        <v>3323818821.4400001</v>
      </c>
      <c r="F177" s="2">
        <v>846029483.73800004</v>
      </c>
    </row>
    <row r="178" spans="1:6" x14ac:dyDescent="0.25">
      <c r="A178" s="1">
        <v>43432</v>
      </c>
      <c r="B178" s="2">
        <v>66505099041.103996</v>
      </c>
      <c r="C178" s="2">
        <v>11403855940.200001</v>
      </c>
      <c r="D178" s="2">
        <v>1846698840.4481599</v>
      </c>
      <c r="E178" s="2">
        <v>3131850243.6999998</v>
      </c>
      <c r="F178" s="2">
        <v>755227662.77499998</v>
      </c>
    </row>
    <row r="179" spans="1:6" x14ac:dyDescent="0.25">
      <c r="A179" s="1">
        <v>43431</v>
      </c>
      <c r="B179" s="2">
        <v>65516138001.25</v>
      </c>
      <c r="C179" s="2">
        <v>11164939659.799999</v>
      </c>
      <c r="D179" s="2">
        <v>1744940048.25683</v>
      </c>
      <c r="E179" s="2">
        <v>3181538428.3000002</v>
      </c>
      <c r="F179" s="2">
        <v>750921920.11199999</v>
      </c>
    </row>
    <row r="180" spans="1:6" x14ac:dyDescent="0.25">
      <c r="A180" s="1">
        <v>43430</v>
      </c>
      <c r="B180" s="2">
        <v>69843547925.031204</v>
      </c>
      <c r="C180" s="2">
        <v>12035412540.4</v>
      </c>
      <c r="D180" s="2">
        <v>1831337444.1574199</v>
      </c>
      <c r="E180" s="2">
        <v>3230682948.4200001</v>
      </c>
      <c r="F180" s="2">
        <v>771529473.68400002</v>
      </c>
    </row>
    <row r="181" spans="1:6" x14ac:dyDescent="0.25">
      <c r="A181" s="1">
        <v>43429</v>
      </c>
      <c r="B181" s="2">
        <v>67502139850.224503</v>
      </c>
      <c r="C181" s="2">
        <v>11700527896.299999</v>
      </c>
      <c r="D181" s="2">
        <v>1733744923.2269299</v>
      </c>
      <c r="E181" s="2">
        <v>3165704781.8299999</v>
      </c>
      <c r="F181" s="2">
        <v>787523275.08200002</v>
      </c>
    </row>
    <row r="182" spans="1:6" x14ac:dyDescent="0.25">
      <c r="A182" s="1">
        <v>43428</v>
      </c>
      <c r="B182" s="2">
        <v>75616654863.75</v>
      </c>
      <c r="C182" s="2">
        <v>12750345332.799999</v>
      </c>
      <c r="D182" s="2">
        <v>1912758168.9951999</v>
      </c>
      <c r="E182" s="2">
        <v>3628937054.3000002</v>
      </c>
      <c r="F182" s="2">
        <v>841389088.76999998</v>
      </c>
    </row>
    <row r="183" spans="1:6" x14ac:dyDescent="0.25">
      <c r="A183" s="1">
        <v>43427</v>
      </c>
      <c r="B183" s="2">
        <v>75835189420</v>
      </c>
      <c r="C183" s="2">
        <v>13069568659.299999</v>
      </c>
      <c r="D183" s="2">
        <v>1898221972.0808401</v>
      </c>
      <c r="E183" s="2">
        <v>3676821327.3499999</v>
      </c>
      <c r="F183" s="2">
        <v>864673042.171</v>
      </c>
    </row>
    <row r="184" spans="1:6" x14ac:dyDescent="0.25">
      <c r="A184" s="1">
        <v>43426</v>
      </c>
      <c r="B184" s="2">
        <v>80190706019.778107</v>
      </c>
      <c r="C184" s="2">
        <v>14140966602.299999</v>
      </c>
      <c r="D184" s="2">
        <v>2055770812.5341599</v>
      </c>
      <c r="E184" s="2">
        <v>4127152001.71</v>
      </c>
      <c r="F184" s="2">
        <v>967791431.05200005</v>
      </c>
    </row>
    <row r="185" spans="1:6" x14ac:dyDescent="0.25">
      <c r="A185" s="1">
        <v>43425</v>
      </c>
      <c r="B185" s="2">
        <v>77644518698.183701</v>
      </c>
      <c r="C185" s="2">
        <v>13552816225.4</v>
      </c>
      <c r="D185" s="2">
        <v>1959648457.1367099</v>
      </c>
      <c r="E185" s="2">
        <v>3955039487.1700001</v>
      </c>
      <c r="F185" s="2">
        <v>888110775.70000005</v>
      </c>
    </row>
    <row r="186" spans="1:6" x14ac:dyDescent="0.25">
      <c r="A186" s="1">
        <v>43424</v>
      </c>
      <c r="B186" s="2">
        <v>84565196535.248703</v>
      </c>
      <c r="C186" s="2">
        <v>15375705040.6</v>
      </c>
      <c r="D186" s="2">
        <v>2166784167.2024798</v>
      </c>
      <c r="E186" s="2">
        <v>5875039303.6999998</v>
      </c>
      <c r="F186" s="2">
        <v>924919359.22899997</v>
      </c>
    </row>
    <row r="187" spans="1:6" x14ac:dyDescent="0.25">
      <c r="A187" s="1">
        <v>43423</v>
      </c>
      <c r="B187" s="2">
        <v>97714590429.211502</v>
      </c>
      <c r="C187" s="2">
        <v>18303000200.200001</v>
      </c>
      <c r="D187" s="2">
        <v>2507885690.34061</v>
      </c>
      <c r="E187" s="2">
        <v>6701137280.46</v>
      </c>
      <c r="F187" s="2">
        <v>1121674540.3299999</v>
      </c>
    </row>
    <row r="188" spans="1:6" x14ac:dyDescent="0.25">
      <c r="A188" s="1">
        <v>43422</v>
      </c>
      <c r="B188" s="2">
        <v>96644682433</v>
      </c>
      <c r="C188" s="2">
        <v>17989922625.900002</v>
      </c>
      <c r="D188" s="2">
        <v>2492333059.9078598</v>
      </c>
      <c r="E188" s="2">
        <v>6770177130.3000002</v>
      </c>
      <c r="F188" s="2">
        <v>1123379576.53</v>
      </c>
    </row>
    <row r="189" spans="1:6" x14ac:dyDescent="0.25">
      <c r="A189" s="1">
        <v>43421</v>
      </c>
      <c r="B189" s="2">
        <v>96963597355.000107</v>
      </c>
      <c r="C189" s="2">
        <v>18108662988.200001</v>
      </c>
      <c r="D189" s="2">
        <v>2515498716.60601</v>
      </c>
      <c r="E189" s="2">
        <v>6802103344.9300003</v>
      </c>
      <c r="F189" s="2">
        <v>1160907455.9300001</v>
      </c>
    </row>
    <row r="190" spans="1:6" x14ac:dyDescent="0.25">
      <c r="A190" s="1">
        <v>43420</v>
      </c>
      <c r="B190" s="2">
        <v>98113403472</v>
      </c>
      <c r="C190" s="2">
        <v>18673610379.5</v>
      </c>
      <c r="D190" s="2">
        <v>2601895897.1361198</v>
      </c>
      <c r="E190" s="2">
        <v>7355078640</v>
      </c>
      <c r="F190" s="2">
        <v>1170361107.9400001</v>
      </c>
    </row>
    <row r="191" spans="1:6" x14ac:dyDescent="0.25">
      <c r="A191" s="1">
        <v>43419</v>
      </c>
      <c r="B191" s="2">
        <v>99682958104.003799</v>
      </c>
      <c r="C191" s="2">
        <v>18776172150.400002</v>
      </c>
      <c r="D191" s="2">
        <v>2587616672.6614299</v>
      </c>
      <c r="E191" s="2">
        <v>7681811590</v>
      </c>
      <c r="F191" s="2">
        <v>1216619509.0599999</v>
      </c>
    </row>
    <row r="192" spans="1:6" x14ac:dyDescent="0.25">
      <c r="A192" s="1">
        <v>43418</v>
      </c>
      <c r="B192" s="2">
        <v>110361921731.935</v>
      </c>
      <c r="C192" s="2">
        <v>21314525337</v>
      </c>
      <c r="D192" s="2">
        <v>2933285349.4753499</v>
      </c>
      <c r="E192" s="2">
        <v>8932155760</v>
      </c>
      <c r="F192" s="2">
        <v>1357388610.4400001</v>
      </c>
    </row>
    <row r="193" spans="1:6" x14ac:dyDescent="0.25">
      <c r="A193" s="1">
        <v>43417</v>
      </c>
      <c r="B193" s="2">
        <v>110732500100.899</v>
      </c>
      <c r="C193" s="2">
        <v>21683828108.5</v>
      </c>
      <c r="D193" s="2">
        <v>2994431195.6808801</v>
      </c>
      <c r="E193" s="2">
        <v>8982958737.75</v>
      </c>
      <c r="F193" s="2">
        <v>1376249326.1700001</v>
      </c>
    </row>
    <row r="194" spans="1:6" x14ac:dyDescent="0.25">
      <c r="A194" s="1">
        <v>43416</v>
      </c>
      <c r="B194" s="2">
        <v>111393109420.50301</v>
      </c>
      <c r="C194" s="2">
        <v>21820085619.599998</v>
      </c>
      <c r="D194" s="2">
        <v>3044006568.9879498</v>
      </c>
      <c r="E194" s="2">
        <v>9313370216.9699993</v>
      </c>
      <c r="F194" s="2">
        <v>1352512158.0999999</v>
      </c>
    </row>
    <row r="195" spans="1:6" x14ac:dyDescent="0.25">
      <c r="A195" s="1">
        <v>43415</v>
      </c>
      <c r="B195" s="2">
        <v>111414450508.319</v>
      </c>
      <c r="C195" s="2">
        <v>21916049105.299999</v>
      </c>
      <c r="D195" s="2">
        <v>3093353466.19626</v>
      </c>
      <c r="E195" s="2">
        <v>9700157683.3299999</v>
      </c>
      <c r="F195" s="2">
        <v>1364971374.96</v>
      </c>
    </row>
    <row r="196" spans="1:6" x14ac:dyDescent="0.25">
      <c r="A196" s="1">
        <v>43414</v>
      </c>
      <c r="B196" s="2">
        <v>110925079241.17</v>
      </c>
      <c r="C196" s="2">
        <v>21653195232.700001</v>
      </c>
      <c r="D196" s="2">
        <v>3069366449.5854902</v>
      </c>
      <c r="E196" s="2">
        <v>9473971864.1000004</v>
      </c>
      <c r="F196" s="2">
        <v>1349594322.1400001</v>
      </c>
    </row>
    <row r="197" spans="1:6" x14ac:dyDescent="0.25">
      <c r="A197" s="1">
        <v>43413</v>
      </c>
      <c r="B197" s="2">
        <v>111895398930</v>
      </c>
      <c r="C197" s="2">
        <v>21857291426.900002</v>
      </c>
      <c r="D197" s="2">
        <v>3093692382.6612701</v>
      </c>
      <c r="E197" s="2">
        <v>10016183447.299999</v>
      </c>
      <c r="F197" s="2">
        <v>1384736619.3900001</v>
      </c>
    </row>
    <row r="198" spans="1:6" x14ac:dyDescent="0.25">
      <c r="A198" s="1">
        <v>43412</v>
      </c>
      <c r="B198" s="2">
        <v>113268838898.25</v>
      </c>
      <c r="C198" s="2">
        <v>22403150215.799999</v>
      </c>
      <c r="D198" s="2">
        <v>3201531572.3066602</v>
      </c>
      <c r="E198" s="2">
        <v>10757089973.5</v>
      </c>
      <c r="F198" s="2">
        <v>1402040740.4100001</v>
      </c>
    </row>
    <row r="199" spans="1:6" x14ac:dyDescent="0.25">
      <c r="A199" s="1">
        <v>43411</v>
      </c>
      <c r="B199" s="2">
        <v>112325256697.31599</v>
      </c>
      <c r="C199" s="2">
        <v>22560768202.5</v>
      </c>
      <c r="D199" s="2">
        <v>3309735808.6480899</v>
      </c>
      <c r="E199" s="2">
        <v>10994146319.299999</v>
      </c>
      <c r="F199" s="2">
        <v>1434365484.04</v>
      </c>
    </row>
    <row r="200" spans="1:6" x14ac:dyDescent="0.25">
      <c r="A200" s="1">
        <v>43410</v>
      </c>
      <c r="B200" s="2">
        <v>111616235761.96899</v>
      </c>
      <c r="C200" s="2">
        <v>21522997616.200001</v>
      </c>
      <c r="D200" s="2">
        <v>3128480490.2144699</v>
      </c>
      <c r="E200" s="2">
        <v>9595442196.4400005</v>
      </c>
      <c r="F200" s="2">
        <v>1381097081.8299999</v>
      </c>
    </row>
    <row r="201" spans="1:6" x14ac:dyDescent="0.25">
      <c r="A201" s="1">
        <v>43409</v>
      </c>
      <c r="B201" s="2">
        <v>110483261354</v>
      </c>
      <c r="C201" s="2">
        <v>21335981889.299999</v>
      </c>
      <c r="D201" s="2">
        <v>3163694698.7540598</v>
      </c>
      <c r="E201" s="2">
        <v>9727870794.5699997</v>
      </c>
      <c r="F201" s="2">
        <v>1361758741</v>
      </c>
    </row>
    <row r="202" spans="1:6" x14ac:dyDescent="0.25">
      <c r="A202" s="1">
        <v>43408</v>
      </c>
      <c r="B202" s="2">
        <v>110504158175.57899</v>
      </c>
      <c r="C202" s="2">
        <v>20616428718</v>
      </c>
      <c r="D202" s="2">
        <v>3009766550.8572998</v>
      </c>
      <c r="E202" s="2">
        <v>8346021566.6499996</v>
      </c>
      <c r="F202" s="2">
        <v>1304934893.7</v>
      </c>
    </row>
    <row r="203" spans="1:6" x14ac:dyDescent="0.25">
      <c r="A203" s="1">
        <v>43407</v>
      </c>
      <c r="B203" s="2">
        <v>110872183782.261</v>
      </c>
      <c r="C203" s="2">
        <v>20672077801.900002</v>
      </c>
      <c r="D203" s="2">
        <v>3027359873.8022299</v>
      </c>
      <c r="E203" s="2">
        <v>8052695481.2299995</v>
      </c>
      <c r="F203" s="2">
        <v>1300212578.73</v>
      </c>
    </row>
    <row r="204" spans="1:6" x14ac:dyDescent="0.25">
      <c r="A204" s="1">
        <v>43406</v>
      </c>
      <c r="B204" s="2">
        <v>110715004161.75999</v>
      </c>
      <c r="C204" s="2">
        <v>20487739444.099998</v>
      </c>
      <c r="D204" s="2">
        <v>2969850148.9865499</v>
      </c>
      <c r="E204" s="2">
        <v>7397350910.8900003</v>
      </c>
      <c r="F204" s="2">
        <v>1293907209.24</v>
      </c>
    </row>
    <row r="205" spans="1:6" x14ac:dyDescent="0.25">
      <c r="A205" s="1">
        <v>43405</v>
      </c>
      <c r="B205" s="2">
        <v>109648792444</v>
      </c>
      <c r="C205" s="2">
        <v>20335192701.900002</v>
      </c>
      <c r="D205" s="2">
        <v>2923215125.2134399</v>
      </c>
      <c r="E205" s="2">
        <v>7376151412.5</v>
      </c>
      <c r="F205" s="2">
        <v>1279183194.6199999</v>
      </c>
    </row>
    <row r="206" spans="1:6" x14ac:dyDescent="0.25">
      <c r="A206" s="1">
        <v>43404</v>
      </c>
      <c r="B206" s="2">
        <v>109963411098.49899</v>
      </c>
      <c r="C206" s="2">
        <v>20342416908</v>
      </c>
      <c r="D206" s="2">
        <v>2909539876.9142399</v>
      </c>
      <c r="E206" s="2">
        <v>7360755127.8500004</v>
      </c>
      <c r="F206" s="2">
        <v>1290209036.26</v>
      </c>
    </row>
    <row r="207" spans="1:6" x14ac:dyDescent="0.25">
      <c r="A207" s="1">
        <v>43403</v>
      </c>
      <c r="B207" s="2">
        <v>109951604650.25</v>
      </c>
      <c r="C207" s="2">
        <v>20291536652.799999</v>
      </c>
      <c r="D207" s="2">
        <v>2888644289.1754599</v>
      </c>
      <c r="E207" s="2">
        <v>7280943500.3299999</v>
      </c>
      <c r="F207" s="2">
        <v>1263750066.26</v>
      </c>
    </row>
    <row r="208" spans="1:6" x14ac:dyDescent="0.25">
      <c r="A208" s="1">
        <v>43402</v>
      </c>
      <c r="B208" s="2">
        <v>112633832445</v>
      </c>
      <c r="C208" s="2">
        <v>21107610088.200001</v>
      </c>
      <c r="D208" s="2">
        <v>3054891731.0609298</v>
      </c>
      <c r="E208" s="2">
        <v>7672642062.0200005</v>
      </c>
      <c r="F208" s="2">
        <v>1312432988.1300001</v>
      </c>
    </row>
    <row r="209" spans="1:6" x14ac:dyDescent="0.25">
      <c r="A209" s="1">
        <v>43401</v>
      </c>
      <c r="B209" s="2">
        <v>112453730621.49899</v>
      </c>
      <c r="C209" s="2">
        <v>21035449637</v>
      </c>
      <c r="D209" s="2">
        <v>3066859683.7196698</v>
      </c>
      <c r="E209" s="2">
        <v>7648868727.8800001</v>
      </c>
      <c r="F209" s="2">
        <v>1291657951.0699999</v>
      </c>
    </row>
    <row r="210" spans="1:6" x14ac:dyDescent="0.25">
      <c r="A210" s="1">
        <v>43400</v>
      </c>
      <c r="B210" s="2">
        <v>112410979905.5</v>
      </c>
      <c r="C210" s="2">
        <v>20913439417.400002</v>
      </c>
      <c r="D210" s="2">
        <v>3071052355.1170802</v>
      </c>
      <c r="E210" s="2">
        <v>7642930887.0299997</v>
      </c>
      <c r="F210" s="2">
        <v>1306001125.0799999</v>
      </c>
    </row>
    <row r="211" spans="1:6" x14ac:dyDescent="0.25">
      <c r="A211" s="1">
        <v>43399</v>
      </c>
      <c r="B211" s="2">
        <v>112184904007.24899</v>
      </c>
      <c r="C211" s="2">
        <v>20804340299.799999</v>
      </c>
      <c r="D211" s="2">
        <v>3075412478.0007601</v>
      </c>
      <c r="E211" s="2">
        <v>7651265303.25</v>
      </c>
      <c r="F211" s="2">
        <v>1300658229.1600001</v>
      </c>
    </row>
    <row r="212" spans="1:6" x14ac:dyDescent="0.25">
      <c r="A212" s="1">
        <v>43398</v>
      </c>
      <c r="B212" s="2">
        <v>112454530671.99899</v>
      </c>
      <c r="C212" s="2">
        <v>20957477041.200001</v>
      </c>
      <c r="D212" s="2">
        <v>3091002916.2979102</v>
      </c>
      <c r="E212" s="2">
        <v>7703858023.4499998</v>
      </c>
      <c r="F212" s="2">
        <v>1310629216.0799999</v>
      </c>
    </row>
    <row r="213" spans="1:6" x14ac:dyDescent="0.25">
      <c r="A213" s="1">
        <v>43397</v>
      </c>
      <c r="B213" s="2">
        <v>112343382457.60001</v>
      </c>
      <c r="C213" s="2">
        <v>20980381280.700001</v>
      </c>
      <c r="D213" s="2">
        <v>3087939730.1542201</v>
      </c>
      <c r="E213" s="2">
        <v>7687096601.8400002</v>
      </c>
      <c r="F213" s="2">
        <v>1289092956.49</v>
      </c>
    </row>
    <row r="214" spans="1:6" x14ac:dyDescent="0.25">
      <c r="A214" s="1">
        <v>43396</v>
      </c>
      <c r="B214" s="2">
        <v>112221175669.49899</v>
      </c>
      <c r="C214" s="2">
        <v>20964299914.400002</v>
      </c>
      <c r="D214" s="2">
        <v>3074637859.5904002</v>
      </c>
      <c r="E214" s="2">
        <v>7789219241.3299999</v>
      </c>
      <c r="F214" s="2">
        <v>1273904264.28</v>
      </c>
    </row>
    <row r="215" spans="1:6" x14ac:dyDescent="0.25">
      <c r="A215" s="1">
        <v>43395</v>
      </c>
      <c r="B215" s="2">
        <v>112445970111.429</v>
      </c>
      <c r="C215" s="2">
        <v>21079072980.799999</v>
      </c>
      <c r="D215" s="2">
        <v>3105808640.27777</v>
      </c>
      <c r="E215" s="2">
        <v>7788731235.9700003</v>
      </c>
      <c r="F215" s="2">
        <v>1296330446.27</v>
      </c>
    </row>
    <row r="216" spans="1:6" x14ac:dyDescent="0.25">
      <c r="A216" s="1">
        <v>43394</v>
      </c>
      <c r="B216" s="2">
        <v>112503276366.5</v>
      </c>
      <c r="C216" s="2">
        <v>21097310359.400002</v>
      </c>
      <c r="D216" s="2">
        <v>3142805126.3747101</v>
      </c>
      <c r="E216" s="2">
        <v>7793960068.6999998</v>
      </c>
      <c r="F216" s="2">
        <v>1299143844.25</v>
      </c>
    </row>
    <row r="217" spans="1:6" x14ac:dyDescent="0.25">
      <c r="A217" s="1">
        <v>43393</v>
      </c>
      <c r="B217" s="2">
        <v>111986557798.761</v>
      </c>
      <c r="C217" s="2">
        <v>20899859118.400002</v>
      </c>
      <c r="D217" s="2">
        <v>3121298139.0163002</v>
      </c>
      <c r="E217" s="2">
        <v>7677153490.0500002</v>
      </c>
      <c r="F217" s="2">
        <v>1284508999.5999999</v>
      </c>
    </row>
    <row r="218" spans="1:6" x14ac:dyDescent="0.25">
      <c r="A218" s="1">
        <v>43392</v>
      </c>
      <c r="B218" s="2">
        <v>112272402881</v>
      </c>
      <c r="C218" s="2">
        <v>20869716153.099998</v>
      </c>
      <c r="D218" s="2">
        <v>3089819802.0341301</v>
      </c>
      <c r="E218" s="2">
        <v>7631609151.2700005</v>
      </c>
      <c r="F218" s="2">
        <v>1295524601.0599999</v>
      </c>
    </row>
    <row r="219" spans="1:6" x14ac:dyDescent="0.25">
      <c r="A219" s="1">
        <v>43391</v>
      </c>
      <c r="B219" s="2">
        <v>113374404893.439</v>
      </c>
      <c r="C219" s="2">
        <v>21291102999.5</v>
      </c>
      <c r="D219" s="2">
        <v>3157729162.64077</v>
      </c>
      <c r="E219" s="2">
        <v>7820735549.8100004</v>
      </c>
      <c r="F219" s="2">
        <v>1341137681.9000001</v>
      </c>
    </row>
    <row r="220" spans="1:6" x14ac:dyDescent="0.25">
      <c r="A220" s="1">
        <v>43390</v>
      </c>
      <c r="B220" s="2">
        <v>114197973438.078</v>
      </c>
      <c r="C220" s="2">
        <v>21576398640.400002</v>
      </c>
      <c r="D220" s="2">
        <v>3188952513.7805099</v>
      </c>
      <c r="E220" s="2">
        <v>7987708458.8900003</v>
      </c>
      <c r="F220" s="2">
        <v>1368856101.79</v>
      </c>
    </row>
    <row r="221" spans="1:6" x14ac:dyDescent="0.25">
      <c r="A221" s="1">
        <v>43389</v>
      </c>
      <c r="B221" s="2">
        <v>114375534554.5</v>
      </c>
      <c r="C221" s="2">
        <v>21511256920.900002</v>
      </c>
      <c r="D221" s="2">
        <v>3229687910.2298799</v>
      </c>
      <c r="E221" s="2">
        <v>7995027730.0699997</v>
      </c>
      <c r="F221" s="2">
        <v>1385344084.75</v>
      </c>
    </row>
    <row r="222" spans="1:6" x14ac:dyDescent="0.25">
      <c r="A222" s="1">
        <v>43388</v>
      </c>
      <c r="B222" s="2">
        <v>109015186715.69901</v>
      </c>
      <c r="C222" s="2">
        <v>20034100883.099998</v>
      </c>
      <c r="D222" s="2">
        <v>3064512682.65415</v>
      </c>
      <c r="E222" s="2">
        <v>7634445712.8500004</v>
      </c>
      <c r="F222" s="2">
        <v>1317596525.6900001</v>
      </c>
    </row>
    <row r="223" spans="1:6" x14ac:dyDescent="0.25">
      <c r="A223" s="1">
        <v>43387</v>
      </c>
      <c r="B223" s="2">
        <v>108930324265.99899</v>
      </c>
      <c r="C223" s="2">
        <v>20482607951.799999</v>
      </c>
      <c r="D223" s="2">
        <v>3142294547.54282</v>
      </c>
      <c r="E223" s="2">
        <v>7799764734.0100002</v>
      </c>
      <c r="F223" s="2">
        <v>1351178344.0999999</v>
      </c>
    </row>
    <row r="224" spans="1:6" x14ac:dyDescent="0.25">
      <c r="A224" s="1">
        <v>43386</v>
      </c>
      <c r="B224" s="2">
        <v>108741129496.58</v>
      </c>
      <c r="C224" s="2">
        <v>20137639442.700001</v>
      </c>
      <c r="D224" s="2">
        <v>3138815903.5397501</v>
      </c>
      <c r="E224" s="2">
        <v>7711692083.6300001</v>
      </c>
      <c r="F224" s="2">
        <v>1322351238.47</v>
      </c>
    </row>
    <row r="225" spans="1:6" x14ac:dyDescent="0.25">
      <c r="A225" s="1">
        <v>43385</v>
      </c>
      <c r="B225" s="2">
        <v>108057645621.039</v>
      </c>
      <c r="C225" s="2">
        <v>19348849608.799999</v>
      </c>
      <c r="D225" s="2">
        <v>2986034164.2619901</v>
      </c>
      <c r="E225" s="2">
        <v>7487610480.6000004</v>
      </c>
      <c r="F225" s="2">
        <v>1307392459.9400001</v>
      </c>
    </row>
    <row r="226" spans="1:6" x14ac:dyDescent="0.25">
      <c r="A226" s="1">
        <v>43384</v>
      </c>
      <c r="B226" s="2">
        <v>114064960980.006</v>
      </c>
      <c r="C226" s="2">
        <v>23127920090.599998</v>
      </c>
      <c r="D226" s="2">
        <v>3402615046.2006602</v>
      </c>
      <c r="E226" s="2">
        <v>8903322554.4699993</v>
      </c>
      <c r="F226" s="2">
        <v>1492447172.01</v>
      </c>
    </row>
    <row r="227" spans="1:6" x14ac:dyDescent="0.25">
      <c r="A227" s="1">
        <v>43383</v>
      </c>
      <c r="B227" s="2">
        <v>114979025135.121</v>
      </c>
      <c r="C227" s="2">
        <v>23329324042.099998</v>
      </c>
      <c r="D227" s="2">
        <v>3441585025.7568102</v>
      </c>
      <c r="E227" s="2">
        <v>8987661411.1200008</v>
      </c>
      <c r="F227" s="2">
        <v>1511604883.9300001</v>
      </c>
    </row>
    <row r="228" spans="1:6" x14ac:dyDescent="0.25">
      <c r="A228" s="1">
        <v>43382</v>
      </c>
      <c r="B228" s="2">
        <v>115188513071.28</v>
      </c>
      <c r="C228" s="2">
        <v>23539170426</v>
      </c>
      <c r="D228" s="2">
        <v>3487183855.7468901</v>
      </c>
      <c r="E228" s="2">
        <v>9164714185.5100002</v>
      </c>
      <c r="F228" s="2">
        <v>1528749938.55</v>
      </c>
    </row>
    <row r="229" spans="1:6" x14ac:dyDescent="0.25">
      <c r="A229" s="1">
        <v>43381</v>
      </c>
      <c r="B229" s="2">
        <v>114261994265.998</v>
      </c>
      <c r="C229" s="2">
        <v>23206947922.5</v>
      </c>
      <c r="D229" s="2">
        <v>3414765494.2511301</v>
      </c>
      <c r="E229" s="2">
        <v>9021260693.6700001</v>
      </c>
      <c r="F229" s="2">
        <v>1509664541.21</v>
      </c>
    </row>
    <row r="230" spans="1:6" x14ac:dyDescent="0.25">
      <c r="A230" s="1">
        <v>43380</v>
      </c>
      <c r="B230" s="2">
        <v>114086483236.75</v>
      </c>
      <c r="C230" s="2">
        <v>23092114681.700001</v>
      </c>
      <c r="D230" s="2">
        <v>3396136374.2099299</v>
      </c>
      <c r="E230" s="2">
        <v>8862507890.9500008</v>
      </c>
      <c r="F230" s="2">
        <v>1512331079.3199999</v>
      </c>
    </row>
    <row r="231" spans="1:6" x14ac:dyDescent="0.25">
      <c r="A231" s="1">
        <v>43379</v>
      </c>
      <c r="B231" s="2">
        <v>114624510263.498</v>
      </c>
      <c r="C231" s="2">
        <v>23303676388.599998</v>
      </c>
      <c r="D231" s="2">
        <v>3451182408.9405198</v>
      </c>
      <c r="E231" s="2">
        <v>9040661024.7700005</v>
      </c>
      <c r="F231" s="2">
        <v>1525354341.95</v>
      </c>
    </row>
    <row r="232" spans="1:6" x14ac:dyDescent="0.25">
      <c r="A232" s="1">
        <v>43378</v>
      </c>
      <c r="B232" s="2">
        <v>113778320988.75</v>
      </c>
      <c r="C232" s="2">
        <v>22758489564</v>
      </c>
      <c r="D232" s="2">
        <v>3417621105.0872798</v>
      </c>
      <c r="E232" s="2">
        <v>8935031649.6200008</v>
      </c>
      <c r="F232" s="2">
        <v>1511243915.9200001</v>
      </c>
    </row>
    <row r="233" spans="1:6" x14ac:dyDescent="0.25">
      <c r="A233" s="1">
        <v>43377</v>
      </c>
      <c r="B233" s="2">
        <v>112448035002.63699</v>
      </c>
      <c r="C233" s="2">
        <v>22567386600.5</v>
      </c>
      <c r="D233" s="2">
        <v>3369525887.3520899</v>
      </c>
      <c r="E233" s="2">
        <v>8984258493</v>
      </c>
      <c r="F233" s="2">
        <v>1485773598.3099999</v>
      </c>
    </row>
    <row r="234" spans="1:6" x14ac:dyDescent="0.25">
      <c r="A234" s="1">
        <v>43376</v>
      </c>
      <c r="B234" s="2">
        <v>113404139770.239</v>
      </c>
      <c r="C234" s="2">
        <v>23172999410.200001</v>
      </c>
      <c r="D234" s="2">
        <v>3489294050.1200399</v>
      </c>
      <c r="E234" s="2">
        <v>9241514825.9699993</v>
      </c>
      <c r="F234" s="2">
        <v>1521776955.5899999</v>
      </c>
    </row>
    <row r="235" spans="1:6" x14ac:dyDescent="0.25">
      <c r="A235" s="1">
        <v>43375</v>
      </c>
      <c r="B235" s="2">
        <v>114073601184</v>
      </c>
      <c r="C235" s="2">
        <v>23648538352.099998</v>
      </c>
      <c r="D235" s="2">
        <v>3530550899.0303102</v>
      </c>
      <c r="E235" s="2">
        <v>9232044547.8799992</v>
      </c>
      <c r="F235" s="2">
        <v>1563057362.6300001</v>
      </c>
    </row>
    <row r="236" spans="1:6" x14ac:dyDescent="0.25">
      <c r="A236" s="1">
        <v>43374</v>
      </c>
      <c r="B236" s="2">
        <v>114522822452.757</v>
      </c>
      <c r="C236" s="2">
        <v>23860383794.900002</v>
      </c>
      <c r="D236" s="2">
        <v>3576704171.5329599</v>
      </c>
      <c r="E236" s="2">
        <v>9239594019.4599991</v>
      </c>
      <c r="F236" s="2">
        <v>1563195590.55</v>
      </c>
    </row>
    <row r="237" spans="1:6" x14ac:dyDescent="0.25">
      <c r="A237" s="1">
        <v>43373</v>
      </c>
      <c r="B237" s="2">
        <v>114247857483.549</v>
      </c>
      <c r="C237" s="2">
        <v>23662327450.200001</v>
      </c>
      <c r="D237" s="2">
        <v>3607043407.98037</v>
      </c>
      <c r="E237" s="2">
        <v>9324172790.7199993</v>
      </c>
      <c r="F237" s="2">
        <v>1573939846.48</v>
      </c>
    </row>
    <row r="238" spans="1:6" x14ac:dyDescent="0.25">
      <c r="A238" s="1">
        <v>43372</v>
      </c>
      <c r="B238" s="2">
        <v>114898393290</v>
      </c>
      <c r="C238" s="2">
        <v>22674457624.599998</v>
      </c>
      <c r="D238" s="2">
        <v>3606395093.49261</v>
      </c>
      <c r="E238" s="2">
        <v>9365403853.6299992</v>
      </c>
      <c r="F238" s="2">
        <v>1562699380.25</v>
      </c>
    </row>
    <row r="239" spans="1:6" x14ac:dyDescent="0.25">
      <c r="A239" s="1">
        <v>43371</v>
      </c>
      <c r="B239" s="2">
        <v>115502302500</v>
      </c>
      <c r="C239" s="2">
        <v>23419168599</v>
      </c>
      <c r="D239" s="2">
        <v>3694944157.8285899</v>
      </c>
      <c r="E239" s="2">
        <v>9875915067.5799999</v>
      </c>
      <c r="F239" s="2">
        <v>1621178865.6600001</v>
      </c>
    </row>
    <row r="240" spans="1:6" x14ac:dyDescent="0.25">
      <c r="A240" s="1">
        <v>43370</v>
      </c>
      <c r="B240" s="2">
        <v>112317041826.506</v>
      </c>
      <c r="C240" s="2">
        <v>22024367120.5</v>
      </c>
      <c r="D240" s="2">
        <v>3359711617.5404801</v>
      </c>
      <c r="E240" s="2">
        <v>8942668090.4699993</v>
      </c>
      <c r="F240" s="2">
        <v>1540780997.45</v>
      </c>
    </row>
    <row r="241" spans="1:6" x14ac:dyDescent="0.25">
      <c r="A241" s="1">
        <v>43369</v>
      </c>
      <c r="B241" s="2">
        <v>111570513617.25</v>
      </c>
      <c r="C241" s="2">
        <v>22347341092.700001</v>
      </c>
      <c r="D241" s="2">
        <v>3358674558.4233398</v>
      </c>
      <c r="E241" s="2">
        <v>7726380462.4700003</v>
      </c>
      <c r="F241" s="2">
        <v>1579852628.75</v>
      </c>
    </row>
    <row r="242" spans="1:6" x14ac:dyDescent="0.25">
      <c r="A242" s="1">
        <v>43368</v>
      </c>
      <c r="B242" s="2">
        <v>114167274474.28</v>
      </c>
      <c r="C242" s="2">
        <v>23332847269.400002</v>
      </c>
      <c r="D242" s="2">
        <v>3391372796.7111502</v>
      </c>
      <c r="E242" s="2">
        <v>8026021887.04</v>
      </c>
      <c r="F242" s="2">
        <v>1650093506.25</v>
      </c>
    </row>
    <row r="243" spans="1:6" x14ac:dyDescent="0.25">
      <c r="A243" s="1">
        <v>43367</v>
      </c>
      <c r="B243" s="2">
        <v>115901503746.995</v>
      </c>
      <c r="C243" s="2">
        <v>25014414742.5</v>
      </c>
      <c r="D243" s="2">
        <v>3584651267.2154498</v>
      </c>
      <c r="E243" s="2">
        <v>8473541966.8699999</v>
      </c>
      <c r="F243" s="2">
        <v>1710050976.45</v>
      </c>
    </row>
    <row r="244" spans="1:6" x14ac:dyDescent="0.25">
      <c r="A244" s="1">
        <v>43366</v>
      </c>
      <c r="B244" s="2">
        <v>116071452188.74899</v>
      </c>
      <c r="C244" s="2">
        <v>24616171927.599998</v>
      </c>
      <c r="D244" s="2">
        <v>3537468995.1963501</v>
      </c>
      <c r="E244" s="2">
        <v>8469001673.96</v>
      </c>
      <c r="F244" s="2">
        <v>1708082163.23</v>
      </c>
    </row>
    <row r="245" spans="1:6" x14ac:dyDescent="0.25">
      <c r="A245" s="1">
        <v>43365</v>
      </c>
      <c r="B245" s="2">
        <v>116399761079.089</v>
      </c>
      <c r="C245" s="2">
        <v>25259772083.099998</v>
      </c>
      <c r="D245" s="2">
        <v>3551738516.8287501</v>
      </c>
      <c r="E245" s="2">
        <v>8687620830.5</v>
      </c>
      <c r="F245" s="2">
        <v>1733738984.8900001</v>
      </c>
    </row>
    <row r="246" spans="1:6" x14ac:dyDescent="0.25">
      <c r="A246" s="1">
        <v>43364</v>
      </c>
      <c r="B246" s="2">
        <v>112564637169.036</v>
      </c>
      <c r="C246" s="2">
        <v>22999618129.900002</v>
      </c>
      <c r="D246" s="2">
        <v>3315821354.56884</v>
      </c>
      <c r="E246" s="2">
        <v>7943120340.4300003</v>
      </c>
      <c r="F246" s="2">
        <v>1671030938.98</v>
      </c>
    </row>
    <row r="247" spans="1:6" x14ac:dyDescent="0.25">
      <c r="A247" s="1">
        <v>43363</v>
      </c>
      <c r="B247" s="2">
        <v>110565485994.151</v>
      </c>
      <c r="C247" s="2">
        <v>21467483356</v>
      </c>
      <c r="D247" s="2">
        <v>3174360766.9698</v>
      </c>
      <c r="E247" s="2">
        <v>7461314319.4499998</v>
      </c>
      <c r="F247" s="2">
        <v>1594779127.0999999</v>
      </c>
    </row>
    <row r="248" spans="1:6" x14ac:dyDescent="0.25">
      <c r="A248" s="1">
        <v>43362</v>
      </c>
      <c r="B248" s="2">
        <v>110086611746.74699</v>
      </c>
      <c r="C248" s="2">
        <v>21379291461.400002</v>
      </c>
      <c r="D248" s="2">
        <v>3153129330.6928</v>
      </c>
      <c r="E248" s="2">
        <v>7519091606.0900002</v>
      </c>
      <c r="F248" s="2">
        <v>1595255214.4300001</v>
      </c>
    </row>
    <row r="249" spans="1:6" x14ac:dyDescent="0.25">
      <c r="A249" s="1">
        <v>43361</v>
      </c>
      <c r="B249" s="2">
        <v>108503191318.742</v>
      </c>
      <c r="C249" s="2">
        <v>20112274007.799999</v>
      </c>
      <c r="D249" s="2">
        <v>3051077641.1584101</v>
      </c>
      <c r="E249" s="2">
        <v>7264426974</v>
      </c>
      <c r="F249" s="2">
        <v>1528198301.5</v>
      </c>
    </row>
    <row r="250" spans="1:6" x14ac:dyDescent="0.25">
      <c r="A250" s="1">
        <v>43360</v>
      </c>
      <c r="B250" s="2">
        <v>112519390766.30499</v>
      </c>
      <c r="C250" s="2">
        <v>22605798651</v>
      </c>
      <c r="D250" s="2">
        <v>3326383522.4594598</v>
      </c>
      <c r="E250" s="2">
        <v>7815926068.5600004</v>
      </c>
      <c r="F250" s="2">
        <v>1608940502.2</v>
      </c>
    </row>
    <row r="251" spans="1:6" x14ac:dyDescent="0.25">
      <c r="A251" s="1">
        <v>43359</v>
      </c>
      <c r="B251" s="2">
        <v>112899164145.50101</v>
      </c>
      <c r="C251" s="2">
        <v>22726174343</v>
      </c>
      <c r="D251" s="2">
        <v>3300046629.0384402</v>
      </c>
      <c r="E251" s="2">
        <v>7782702498.5</v>
      </c>
      <c r="F251" s="2">
        <v>1597633306.27</v>
      </c>
    </row>
    <row r="252" spans="1:6" x14ac:dyDescent="0.25">
      <c r="A252" s="1">
        <v>43358</v>
      </c>
      <c r="B252" s="2">
        <v>112416602437.40199</v>
      </c>
      <c r="C252" s="2">
        <v>21397334937.099998</v>
      </c>
      <c r="D252" s="2">
        <v>3285297725.3292098</v>
      </c>
      <c r="E252" s="2">
        <v>7765777740.3699999</v>
      </c>
      <c r="F252" s="2">
        <v>1588552970.71</v>
      </c>
    </row>
    <row r="253" spans="1:6" x14ac:dyDescent="0.25">
      <c r="A253" s="1">
        <v>43357</v>
      </c>
      <c r="B253" s="2">
        <v>112509077190.99899</v>
      </c>
      <c r="C253" s="2">
        <v>21684171660.200001</v>
      </c>
      <c r="D253" s="2">
        <v>3185588136.2212701</v>
      </c>
      <c r="E253" s="2">
        <v>8104111444.6999998</v>
      </c>
      <c r="F253" s="2">
        <v>1606330316.8800001</v>
      </c>
    </row>
    <row r="254" spans="1:6" x14ac:dyDescent="0.25">
      <c r="A254" s="1">
        <v>43356</v>
      </c>
      <c r="B254" s="2">
        <v>109715326103.756</v>
      </c>
      <c r="C254" s="2">
        <v>18724996951.700001</v>
      </c>
      <c r="D254" s="2">
        <v>3023333432.73634</v>
      </c>
      <c r="E254" s="2">
        <v>7520537285.8800001</v>
      </c>
      <c r="F254" s="2">
        <v>1542658411.6300001</v>
      </c>
    </row>
    <row r="255" spans="1:6" x14ac:dyDescent="0.25">
      <c r="A255" s="1">
        <v>43355</v>
      </c>
      <c r="B255" s="2">
        <v>109060884575.767</v>
      </c>
      <c r="C255" s="2">
        <v>18898335891.900002</v>
      </c>
      <c r="D255" s="2">
        <v>3052287065.2982898</v>
      </c>
      <c r="E255" s="2">
        <v>7640665709.6000004</v>
      </c>
      <c r="F255" s="2">
        <v>1560468093.48</v>
      </c>
    </row>
    <row r="256" spans="1:6" x14ac:dyDescent="0.25">
      <c r="A256" s="1">
        <v>43354</v>
      </c>
      <c r="B256" s="2">
        <v>109304312779.159</v>
      </c>
      <c r="C256" s="2">
        <v>20194273183.200001</v>
      </c>
      <c r="D256" s="2">
        <v>3180930069.49226</v>
      </c>
      <c r="E256" s="2">
        <v>8122850102.5100002</v>
      </c>
      <c r="F256" s="2">
        <v>1681303879.8800001</v>
      </c>
    </row>
    <row r="257" spans="1:6" x14ac:dyDescent="0.25">
      <c r="A257" s="1">
        <v>43353</v>
      </c>
      <c r="B257" s="2">
        <v>108770057535.689</v>
      </c>
      <c r="C257" s="2">
        <v>20156971637.099998</v>
      </c>
      <c r="D257" s="2">
        <v>3202176184.3928499</v>
      </c>
      <c r="E257" s="2">
        <v>8397089392.3999996</v>
      </c>
      <c r="F257" s="2">
        <v>1612104405.95</v>
      </c>
    </row>
    <row r="258" spans="1:6" x14ac:dyDescent="0.25">
      <c r="A258" s="1">
        <v>43352</v>
      </c>
      <c r="B258" s="2">
        <v>107409856854.237</v>
      </c>
      <c r="C258" s="2">
        <v>20207427644.400002</v>
      </c>
      <c r="D258" s="2">
        <v>3101708610.9278898</v>
      </c>
      <c r="E258" s="2">
        <v>8229874092.9499998</v>
      </c>
      <c r="F258" s="2">
        <v>1545508481.49</v>
      </c>
    </row>
    <row r="259" spans="1:6" x14ac:dyDescent="0.25">
      <c r="A259" s="1">
        <v>43351</v>
      </c>
      <c r="B259" s="2">
        <v>111483554220.789</v>
      </c>
      <c r="C259" s="2">
        <v>22192044628.700001</v>
      </c>
      <c r="D259" s="2">
        <v>3267479229.4874101</v>
      </c>
      <c r="E259" s="2">
        <v>8700419722.7600002</v>
      </c>
      <c r="F259" s="2">
        <v>1560059107.0799999</v>
      </c>
    </row>
    <row r="260" spans="1:6" x14ac:dyDescent="0.25">
      <c r="A260" s="1">
        <v>43350</v>
      </c>
      <c r="B260" s="2">
        <v>112657657160.74699</v>
      </c>
      <c r="C260" s="2">
        <v>23370975930.700001</v>
      </c>
      <c r="D260" s="2">
        <v>3336636075.97259</v>
      </c>
      <c r="E260" s="2">
        <v>8993482543.5100002</v>
      </c>
      <c r="F260" s="2">
        <v>1501025155.23</v>
      </c>
    </row>
    <row r="261" spans="1:6" x14ac:dyDescent="0.25">
      <c r="A261" s="1">
        <v>43349</v>
      </c>
      <c r="B261" s="2">
        <v>116548288083.758</v>
      </c>
      <c r="C261" s="2">
        <v>23581321840.799999</v>
      </c>
      <c r="D261" s="2">
        <v>3392778071.8037901</v>
      </c>
      <c r="E261" s="2">
        <v>9186281429.7700005</v>
      </c>
      <c r="F261" s="2">
        <v>1452197530.8299999</v>
      </c>
    </row>
    <row r="262" spans="1:6" x14ac:dyDescent="0.25">
      <c r="A262" s="1">
        <v>43348</v>
      </c>
      <c r="B262" s="2">
        <v>126995307007.229</v>
      </c>
      <c r="C262" s="2">
        <v>29113952769</v>
      </c>
      <c r="D262" s="2">
        <v>3935887729.6930099</v>
      </c>
      <c r="E262" s="2">
        <v>10853923358.200001</v>
      </c>
      <c r="F262" s="2">
        <v>1799315856.27</v>
      </c>
    </row>
    <row r="263" spans="1:6" x14ac:dyDescent="0.25">
      <c r="A263" s="1">
        <v>43347</v>
      </c>
      <c r="B263" s="2">
        <v>125285021406.078</v>
      </c>
      <c r="C263" s="2">
        <v>29439042346.099998</v>
      </c>
      <c r="D263" s="2">
        <v>3798346106.18402</v>
      </c>
      <c r="E263" s="2">
        <v>10871920959.1</v>
      </c>
      <c r="F263" s="2">
        <v>1802169241.8599999</v>
      </c>
    </row>
    <row r="264" spans="1:6" x14ac:dyDescent="0.25">
      <c r="A264" s="1">
        <v>43346</v>
      </c>
      <c r="B264" s="2">
        <v>125549983269.748</v>
      </c>
      <c r="C264" s="2">
        <v>30030903466.900002</v>
      </c>
      <c r="D264" s="2">
        <v>3826689211.8485498</v>
      </c>
      <c r="E264" s="2">
        <v>11235061631</v>
      </c>
      <c r="F264" s="2">
        <v>1769303663.29</v>
      </c>
    </row>
    <row r="265" spans="1:6" x14ac:dyDescent="0.25">
      <c r="A265" s="1">
        <v>43345</v>
      </c>
      <c r="B265" s="2">
        <v>123993919568.815</v>
      </c>
      <c r="C265" s="2">
        <v>30052573630.400002</v>
      </c>
      <c r="D265" s="2">
        <v>3834782183.9570398</v>
      </c>
      <c r="E265" s="2">
        <v>10674205922.9</v>
      </c>
      <c r="F265" s="2">
        <v>1833025874.0799999</v>
      </c>
    </row>
    <row r="266" spans="1:6" x14ac:dyDescent="0.25">
      <c r="A266" s="1">
        <v>43344</v>
      </c>
      <c r="B266" s="2">
        <v>121484838943.714</v>
      </c>
      <c r="C266" s="2">
        <v>28831229500.700001</v>
      </c>
      <c r="D266" s="2">
        <v>3587596247.17664</v>
      </c>
      <c r="E266" s="2">
        <v>9424457209.7800007</v>
      </c>
      <c r="F266" s="2">
        <v>1613041287.3199999</v>
      </c>
    </row>
    <row r="267" spans="1:6" x14ac:dyDescent="0.25">
      <c r="A267" s="1">
        <v>43343</v>
      </c>
      <c r="B267" s="2">
        <v>120249807508.179</v>
      </c>
      <c r="C267" s="2">
        <v>28888802060</v>
      </c>
      <c r="D267" s="2">
        <v>3509672890.6988502</v>
      </c>
      <c r="E267" s="2">
        <v>9330796336.2900009</v>
      </c>
      <c r="F267" s="2">
        <v>1521241061.1900001</v>
      </c>
    </row>
    <row r="268" spans="1:6" x14ac:dyDescent="0.25">
      <c r="A268" s="1">
        <v>43342</v>
      </c>
      <c r="B268" s="2">
        <v>121439613651.614</v>
      </c>
      <c r="C268" s="2">
        <v>29454389491.299999</v>
      </c>
      <c r="D268" s="2">
        <v>3587178920.9567299</v>
      </c>
      <c r="E268" s="2">
        <v>9597550884.8500004</v>
      </c>
      <c r="F268" s="2">
        <v>1554917307.9200001</v>
      </c>
    </row>
    <row r="269" spans="1:6" x14ac:dyDescent="0.25">
      <c r="A269" s="1">
        <v>43341</v>
      </c>
      <c r="B269" s="2">
        <v>122252655448.60001</v>
      </c>
      <c r="C269" s="2">
        <v>30100669842.599998</v>
      </c>
      <c r="D269" s="2">
        <v>3659586203.4560399</v>
      </c>
      <c r="E269" s="2">
        <v>9775500078.9799995</v>
      </c>
      <c r="F269" s="2">
        <v>1607441957.48</v>
      </c>
    </row>
    <row r="270" spans="1:6" x14ac:dyDescent="0.25">
      <c r="A270" s="1">
        <v>43340</v>
      </c>
      <c r="B270" s="2">
        <v>118782145483.61</v>
      </c>
      <c r="C270" s="2">
        <v>29127993345.299999</v>
      </c>
      <c r="D270" s="2">
        <v>3496514581.6610498</v>
      </c>
      <c r="E270" s="2">
        <v>9439744476.0799999</v>
      </c>
      <c r="F270" s="2">
        <v>1508627843.6099999</v>
      </c>
    </row>
    <row r="271" spans="1:6" x14ac:dyDescent="0.25">
      <c r="A271" s="1">
        <v>43339</v>
      </c>
      <c r="B271" s="2">
        <v>115661725149.911</v>
      </c>
      <c r="C271" s="2">
        <v>27974513889.799999</v>
      </c>
      <c r="D271" s="2">
        <v>3323074562.0521102</v>
      </c>
      <c r="E271" s="2">
        <v>9056780335.4899998</v>
      </c>
      <c r="F271" s="2">
        <v>1174844350.0999999</v>
      </c>
    </row>
    <row r="272" spans="1:6" x14ac:dyDescent="0.25">
      <c r="A272" s="1">
        <v>43338</v>
      </c>
      <c r="B272" s="2">
        <v>116401697924</v>
      </c>
      <c r="C272" s="2">
        <v>28391826545.200001</v>
      </c>
      <c r="D272" s="2">
        <v>3368342782.9827299</v>
      </c>
      <c r="E272" s="2">
        <v>9289140577.9599991</v>
      </c>
      <c r="F272" s="2">
        <v>1199902496.72</v>
      </c>
    </row>
    <row r="273" spans="1:6" x14ac:dyDescent="0.25">
      <c r="A273" s="1">
        <v>43337</v>
      </c>
      <c r="B273" s="2">
        <v>115789442465</v>
      </c>
      <c r="C273" s="2">
        <v>28767849228.799999</v>
      </c>
      <c r="D273" s="2">
        <v>3359643879.01226</v>
      </c>
      <c r="E273" s="2">
        <v>9262177694.1299992</v>
      </c>
      <c r="F273" s="2">
        <v>1200100327.27</v>
      </c>
    </row>
    <row r="274" spans="1:6" x14ac:dyDescent="0.25">
      <c r="A274" s="1">
        <v>43336</v>
      </c>
      <c r="B274" s="2">
        <v>112876301868</v>
      </c>
      <c r="C274" s="2">
        <v>28237256474.599998</v>
      </c>
      <c r="D274" s="2">
        <v>3340306341.2532301</v>
      </c>
      <c r="E274" s="2">
        <v>9201807782.4599991</v>
      </c>
      <c r="F274" s="2">
        <v>1164834770.03</v>
      </c>
    </row>
    <row r="275" spans="1:6" x14ac:dyDescent="0.25">
      <c r="A275" s="1">
        <v>43335</v>
      </c>
      <c r="B275" s="2">
        <v>109760106337.508</v>
      </c>
      <c r="C275" s="2">
        <v>27586560191.099998</v>
      </c>
      <c r="D275" s="2">
        <v>3199953761.6195598</v>
      </c>
      <c r="E275" s="2">
        <v>8985560930.4300003</v>
      </c>
      <c r="F275" s="2">
        <v>1131215747.7</v>
      </c>
    </row>
    <row r="276" spans="1:6" x14ac:dyDescent="0.25">
      <c r="A276" s="1">
        <v>43334</v>
      </c>
      <c r="B276" s="2">
        <v>111727764281.504</v>
      </c>
      <c r="C276" s="2">
        <v>28617990623.900002</v>
      </c>
      <c r="D276" s="2">
        <v>3284103567.7223401</v>
      </c>
      <c r="E276" s="2">
        <v>9262150940.9099998</v>
      </c>
      <c r="F276" s="2">
        <v>1172268065.79</v>
      </c>
    </row>
    <row r="277" spans="1:6" x14ac:dyDescent="0.25">
      <c r="A277" s="1">
        <v>43333</v>
      </c>
      <c r="B277" s="2">
        <v>108525452070.47301</v>
      </c>
      <c r="C277" s="2">
        <v>27735841656.099998</v>
      </c>
      <c r="D277" s="2">
        <v>3115903503.6125998</v>
      </c>
      <c r="E277" s="2">
        <v>8896144105.5300007</v>
      </c>
      <c r="F277" s="2">
        <v>1178906413.8099999</v>
      </c>
    </row>
    <row r="278" spans="1:6" x14ac:dyDescent="0.25">
      <c r="A278" s="1">
        <v>43332</v>
      </c>
      <c r="B278" s="2">
        <v>111948370452.507</v>
      </c>
      <c r="C278" s="2">
        <v>30576127954.200001</v>
      </c>
      <c r="D278" s="2">
        <v>3354743434.92555</v>
      </c>
      <c r="E278" s="2">
        <v>9865069418</v>
      </c>
      <c r="F278" s="2">
        <v>1284252702.21</v>
      </c>
    </row>
    <row r="279" spans="1:6" x14ac:dyDescent="0.25">
      <c r="A279" s="1">
        <v>43331</v>
      </c>
      <c r="B279" s="2">
        <v>110594002878.50101</v>
      </c>
      <c r="C279" s="2">
        <v>29990632585.200001</v>
      </c>
      <c r="D279" s="2">
        <v>3314069282.3607101</v>
      </c>
      <c r="E279" s="2">
        <v>9601373092.5100002</v>
      </c>
      <c r="F279" s="2">
        <v>1258399820.8699999</v>
      </c>
    </row>
    <row r="280" spans="1:6" x14ac:dyDescent="0.25">
      <c r="A280" s="1">
        <v>43330</v>
      </c>
      <c r="B280" s="2">
        <v>113352181054</v>
      </c>
      <c r="C280" s="2">
        <v>32126201599.900002</v>
      </c>
      <c r="D280" s="2">
        <v>3564347799.68924</v>
      </c>
      <c r="E280" s="2">
        <v>10339941230.4</v>
      </c>
      <c r="F280" s="2">
        <v>1375303716.3900001</v>
      </c>
    </row>
    <row r="281" spans="1:6" x14ac:dyDescent="0.25">
      <c r="A281" s="1">
        <v>43329</v>
      </c>
      <c r="B281" s="2">
        <v>109163755946.353</v>
      </c>
      <c r="C281" s="2">
        <v>29167926756.099998</v>
      </c>
      <c r="D281" s="2">
        <v>3203227961.1648502</v>
      </c>
      <c r="E281" s="2">
        <v>8935794750.8899994</v>
      </c>
      <c r="F281" s="2">
        <v>1254294083.9200001</v>
      </c>
    </row>
    <row r="282" spans="1:6" x14ac:dyDescent="0.25">
      <c r="A282" s="1">
        <v>43328</v>
      </c>
      <c r="B282" s="2">
        <v>108348088441.498</v>
      </c>
      <c r="C282" s="2">
        <v>28660961317</v>
      </c>
      <c r="D282" s="2">
        <v>3156660385.2214499</v>
      </c>
      <c r="E282" s="2">
        <v>8870885615.9099998</v>
      </c>
      <c r="F282" s="2">
        <v>1266874637.6500001</v>
      </c>
    </row>
    <row r="283" spans="1:6" x14ac:dyDescent="0.25">
      <c r="A283" s="1">
        <v>43327</v>
      </c>
      <c r="B283" s="2">
        <v>107082614433.5</v>
      </c>
      <c r="C283" s="2">
        <v>28417811612.799999</v>
      </c>
      <c r="D283" s="2">
        <v>3163928781.9713702</v>
      </c>
      <c r="E283" s="2">
        <v>8876633604.5799999</v>
      </c>
      <c r="F283" s="2">
        <v>1150575483.25</v>
      </c>
    </row>
    <row r="284" spans="1:6" x14ac:dyDescent="0.25">
      <c r="A284" s="1">
        <v>43326</v>
      </c>
      <c r="B284" s="2">
        <v>108209999834</v>
      </c>
      <c r="C284" s="2">
        <v>29017864124.799999</v>
      </c>
      <c r="D284" s="2">
        <v>3297297373.5153899</v>
      </c>
      <c r="E284" s="2">
        <v>9251378501.8899994</v>
      </c>
      <c r="F284" s="2">
        <v>1198154246.1099999</v>
      </c>
    </row>
    <row r="285" spans="1:6" x14ac:dyDescent="0.25">
      <c r="A285" s="1">
        <v>43325</v>
      </c>
      <c r="B285" s="2">
        <v>109123232618.25101</v>
      </c>
      <c r="C285" s="2">
        <v>32439553591.5</v>
      </c>
      <c r="D285" s="2">
        <v>3439851961.46068</v>
      </c>
      <c r="E285" s="2">
        <v>9873694237.6700001</v>
      </c>
      <c r="F285" s="2">
        <v>1388018242.04</v>
      </c>
    </row>
    <row r="286" spans="1:6" x14ac:dyDescent="0.25">
      <c r="A286" s="1">
        <v>43324</v>
      </c>
      <c r="B286" s="2">
        <v>108118524086.00101</v>
      </c>
      <c r="C286" s="2">
        <v>32495378966.299999</v>
      </c>
      <c r="D286" s="2">
        <v>3366200745.6588502</v>
      </c>
      <c r="E286" s="2">
        <v>9758861232.9300003</v>
      </c>
      <c r="F286" s="2">
        <v>1367078310.1800001</v>
      </c>
    </row>
    <row r="287" spans="1:6" x14ac:dyDescent="0.25">
      <c r="A287" s="1">
        <v>43323</v>
      </c>
      <c r="B287" s="2">
        <v>106422805476</v>
      </c>
      <c r="C287" s="2">
        <v>33850096896.900002</v>
      </c>
      <c r="D287" s="2">
        <v>3438942416.7270298</v>
      </c>
      <c r="E287" s="2">
        <v>9886750827.5100002</v>
      </c>
      <c r="F287" s="2">
        <v>1396185379.46</v>
      </c>
    </row>
    <row r="288" spans="1:6" x14ac:dyDescent="0.25">
      <c r="A288" s="1">
        <v>43322</v>
      </c>
      <c r="B288" s="2">
        <v>113043209695.53101</v>
      </c>
      <c r="C288" s="2">
        <v>37033867846.5</v>
      </c>
      <c r="D288" s="2">
        <v>3697994392.0690298</v>
      </c>
      <c r="E288" s="2">
        <v>10550457979.700001</v>
      </c>
      <c r="F288" s="2">
        <v>1516204391.73</v>
      </c>
    </row>
    <row r="289" spans="1:6" x14ac:dyDescent="0.25">
      <c r="A289" s="1">
        <v>43321</v>
      </c>
      <c r="B289" s="2">
        <v>108456022944.47</v>
      </c>
      <c r="C289" s="2">
        <v>36134818721.300003</v>
      </c>
      <c r="D289" s="2">
        <v>3609679306.1320701</v>
      </c>
      <c r="E289" s="2">
        <v>10206616060.9</v>
      </c>
      <c r="F289" s="2">
        <v>1430953909.3499999</v>
      </c>
    </row>
    <row r="290" spans="1:6" x14ac:dyDescent="0.25">
      <c r="A290" s="1">
        <v>43320</v>
      </c>
      <c r="B290" s="2">
        <v>116033675670</v>
      </c>
      <c r="C290" s="2">
        <v>38447674804.5</v>
      </c>
      <c r="D290" s="2">
        <v>3937363059.5256801</v>
      </c>
      <c r="E290" s="2">
        <v>11407145429.799999</v>
      </c>
      <c r="F290" s="2">
        <v>1545589432.4400001</v>
      </c>
    </row>
    <row r="291" spans="1:6" x14ac:dyDescent="0.25">
      <c r="A291" s="1">
        <v>43319</v>
      </c>
      <c r="B291" s="2">
        <v>119657010300</v>
      </c>
      <c r="C291" s="2">
        <v>41162990323.199997</v>
      </c>
      <c r="D291" s="2">
        <v>4273619228.2528901</v>
      </c>
      <c r="E291" s="2">
        <v>11969134585.6</v>
      </c>
      <c r="F291" s="2">
        <v>1644842951.3299999</v>
      </c>
    </row>
    <row r="292" spans="1:6" x14ac:dyDescent="0.25">
      <c r="A292" s="1">
        <v>43318</v>
      </c>
      <c r="B292" s="2">
        <v>121442485815.5</v>
      </c>
      <c r="C292" s="2">
        <v>41535345915.5</v>
      </c>
      <c r="D292" s="2">
        <v>4333544342.3386097</v>
      </c>
      <c r="E292" s="2">
        <v>12285515126.700001</v>
      </c>
      <c r="F292" s="2">
        <v>1707667025.22</v>
      </c>
    </row>
    <row r="293" spans="1:6" x14ac:dyDescent="0.25">
      <c r="A293" s="1">
        <v>43317</v>
      </c>
      <c r="B293" s="2">
        <v>120883073339</v>
      </c>
      <c r="C293" s="2">
        <v>41201088010.5</v>
      </c>
      <c r="D293" s="2">
        <v>4235527923.03016</v>
      </c>
      <c r="E293" s="2">
        <v>12026001835.6</v>
      </c>
      <c r="F293" s="2">
        <v>1667372412</v>
      </c>
    </row>
    <row r="294" spans="1:6" x14ac:dyDescent="0.25">
      <c r="A294" s="1">
        <v>43316</v>
      </c>
      <c r="B294" s="2">
        <v>127876033632.828</v>
      </c>
      <c r="C294" s="2">
        <v>42294581048.099998</v>
      </c>
      <c r="D294" s="2">
        <v>4467519722.9393396</v>
      </c>
      <c r="E294" s="2">
        <v>12494571232.5</v>
      </c>
      <c r="F294" s="2">
        <v>1734056644.3299999</v>
      </c>
    </row>
    <row r="295" spans="1:6" x14ac:dyDescent="0.25">
      <c r="A295" s="1">
        <v>43315</v>
      </c>
      <c r="B295" s="2">
        <v>129981654336.245</v>
      </c>
      <c r="C295" s="2">
        <v>41712693239.599998</v>
      </c>
      <c r="D295" s="2">
        <v>4401612249.9097204</v>
      </c>
      <c r="E295" s="2">
        <v>12657839307.299999</v>
      </c>
      <c r="F295" s="2">
        <v>1738407009.75</v>
      </c>
    </row>
    <row r="296" spans="1:6" x14ac:dyDescent="0.25">
      <c r="A296" s="1">
        <v>43314</v>
      </c>
      <c r="B296" s="2">
        <v>131204243016</v>
      </c>
      <c r="C296" s="2">
        <v>42537059653.099998</v>
      </c>
      <c r="D296" s="2">
        <v>4482085344.6466999</v>
      </c>
      <c r="E296" s="2">
        <v>13258784764</v>
      </c>
      <c r="F296" s="2">
        <v>1806691768.4000001</v>
      </c>
    </row>
    <row r="297" spans="1:6" x14ac:dyDescent="0.25">
      <c r="A297" s="1">
        <v>43313</v>
      </c>
      <c r="B297" s="2">
        <v>133506966882.306</v>
      </c>
      <c r="C297" s="2">
        <v>43847873798.599998</v>
      </c>
      <c r="D297" s="2">
        <v>4635305358.1719704</v>
      </c>
      <c r="E297" s="2">
        <v>13469582501.1</v>
      </c>
      <c r="F297" s="2">
        <v>1796305849.05</v>
      </c>
    </row>
    <row r="298" spans="1:6" x14ac:dyDescent="0.25">
      <c r="A298" s="1">
        <v>43312</v>
      </c>
      <c r="B298" s="2">
        <v>140574589824.10501</v>
      </c>
      <c r="C298" s="2">
        <v>46201393055.199997</v>
      </c>
      <c r="D298" s="2">
        <v>4767355161.8572102</v>
      </c>
      <c r="E298" s="2">
        <v>14103282304.700001</v>
      </c>
      <c r="F298" s="2">
        <v>1939209437.77</v>
      </c>
    </row>
    <row r="299" spans="1:6" x14ac:dyDescent="0.25">
      <c r="A299" s="1">
        <v>43311</v>
      </c>
      <c r="B299" s="2">
        <v>141253321664</v>
      </c>
      <c r="C299" s="2">
        <v>47160183669</v>
      </c>
      <c r="D299" s="2">
        <v>4850263995.2244997</v>
      </c>
      <c r="E299" s="2">
        <v>14306009588.700001</v>
      </c>
      <c r="F299" s="2">
        <v>1975505239.6199999</v>
      </c>
    </row>
    <row r="300" spans="1:6" x14ac:dyDescent="0.25">
      <c r="A300" s="1">
        <v>43310</v>
      </c>
      <c r="B300" s="2">
        <v>140968700832.319</v>
      </c>
      <c r="C300" s="2">
        <v>47159131779.400002</v>
      </c>
      <c r="D300" s="2">
        <v>4843699973.2379799</v>
      </c>
      <c r="E300" s="2">
        <v>14174268996.5</v>
      </c>
      <c r="F300" s="2">
        <v>1983919348.5699999</v>
      </c>
    </row>
    <row r="301" spans="1:6" x14ac:dyDescent="0.25">
      <c r="A301" s="1">
        <v>43309</v>
      </c>
      <c r="B301" s="2">
        <v>140319943620</v>
      </c>
      <c r="C301" s="2">
        <v>47428580023.900002</v>
      </c>
      <c r="D301" s="2">
        <v>4870692878.8823204</v>
      </c>
      <c r="E301" s="2">
        <v>14181053274</v>
      </c>
      <c r="F301" s="2">
        <v>2006312006.28</v>
      </c>
    </row>
    <row r="302" spans="1:6" x14ac:dyDescent="0.25">
      <c r="A302" s="1">
        <v>43308</v>
      </c>
      <c r="B302" s="2">
        <v>136549606724.92599</v>
      </c>
      <c r="C302" s="2">
        <v>46846323316.400002</v>
      </c>
      <c r="D302" s="2">
        <v>4822811330.7012796</v>
      </c>
      <c r="E302" s="2">
        <v>13883583159.5</v>
      </c>
      <c r="F302" s="2">
        <v>1988902759.5599999</v>
      </c>
    </row>
    <row r="303" spans="1:6" x14ac:dyDescent="0.25">
      <c r="A303" s="1">
        <v>43307</v>
      </c>
      <c r="B303" s="2">
        <v>140421658313.23499</v>
      </c>
      <c r="C303" s="2">
        <v>47676720051.5</v>
      </c>
      <c r="D303" s="2">
        <v>4968213254.6433401</v>
      </c>
      <c r="E303" s="2">
        <v>14337716474.4</v>
      </c>
      <c r="F303" s="2">
        <v>2007783327.7</v>
      </c>
    </row>
    <row r="304" spans="1:6" x14ac:dyDescent="0.25">
      <c r="A304" s="1">
        <v>43306</v>
      </c>
      <c r="B304" s="2">
        <v>143887451906.979</v>
      </c>
      <c r="C304" s="2">
        <v>48432659473.699997</v>
      </c>
      <c r="D304" s="2">
        <v>5104080070.3667097</v>
      </c>
      <c r="E304" s="2">
        <v>14896314670.4</v>
      </c>
      <c r="F304" s="2">
        <v>2062506731.9300001</v>
      </c>
    </row>
    <row r="305" spans="1:6" x14ac:dyDescent="0.25">
      <c r="A305" s="1">
        <v>43305</v>
      </c>
      <c r="B305" s="2">
        <v>132483502398.879</v>
      </c>
      <c r="C305" s="2">
        <v>45519816054.300003</v>
      </c>
      <c r="D305" s="2">
        <v>4758185480.9425402</v>
      </c>
      <c r="E305" s="2">
        <v>13555785647.700001</v>
      </c>
      <c r="F305" s="2">
        <v>1986137675.3499999</v>
      </c>
    </row>
    <row r="306" spans="1:6" x14ac:dyDescent="0.25">
      <c r="A306" s="1">
        <v>43304</v>
      </c>
      <c r="B306" s="2">
        <v>127287117972.202</v>
      </c>
      <c r="C306" s="2">
        <v>46347852183.699997</v>
      </c>
      <c r="D306" s="2">
        <v>4788970193.5366898</v>
      </c>
      <c r="E306" s="2">
        <v>13624846934.700001</v>
      </c>
      <c r="F306" s="2">
        <v>2055781801.03</v>
      </c>
    </row>
    <row r="307" spans="1:6" x14ac:dyDescent="0.25">
      <c r="A307" s="1">
        <v>43303</v>
      </c>
      <c r="B307" s="2">
        <v>127324771563.22</v>
      </c>
      <c r="C307" s="2">
        <v>46640412828.699997</v>
      </c>
      <c r="D307" s="2">
        <v>4846523859.4682503</v>
      </c>
      <c r="E307" s="2">
        <v>13602457756.5</v>
      </c>
      <c r="F307" s="2">
        <v>2094015636.1500001</v>
      </c>
    </row>
    <row r="308" spans="1:6" x14ac:dyDescent="0.25">
      <c r="A308" s="1">
        <v>43302</v>
      </c>
      <c r="B308" s="2">
        <v>126190961414.412</v>
      </c>
      <c r="C308" s="2">
        <v>45444886304.5</v>
      </c>
      <c r="D308" s="2">
        <v>4753841697.44139</v>
      </c>
      <c r="E308" s="2">
        <v>13245910881.1</v>
      </c>
      <c r="F308" s="2">
        <v>2038757118.4200001</v>
      </c>
    </row>
    <row r="309" spans="1:6" x14ac:dyDescent="0.25">
      <c r="A309" s="1">
        <v>43301</v>
      </c>
      <c r="B309" s="2">
        <v>128146371235.25301</v>
      </c>
      <c r="C309" s="2">
        <v>47314007277.300003</v>
      </c>
      <c r="D309" s="2">
        <v>4983942081.0861597</v>
      </c>
      <c r="E309" s="2">
        <v>14202209178.700001</v>
      </c>
      <c r="F309" s="2">
        <v>2137076119.8199999</v>
      </c>
    </row>
    <row r="310" spans="1:6" x14ac:dyDescent="0.25">
      <c r="A310" s="1">
        <v>43300</v>
      </c>
      <c r="B310" s="2">
        <v>126601427070</v>
      </c>
      <c r="C310" s="2">
        <v>48445665855.800003</v>
      </c>
      <c r="D310" s="2">
        <v>4994979990.2792196</v>
      </c>
      <c r="E310" s="2">
        <v>14287538890.299999</v>
      </c>
      <c r="F310" s="2">
        <v>2176207119.29</v>
      </c>
    </row>
    <row r="311" spans="1:6" x14ac:dyDescent="0.25">
      <c r="A311" s="1">
        <v>43299</v>
      </c>
      <c r="B311" s="2">
        <v>125506655544.978</v>
      </c>
      <c r="C311" s="2">
        <v>50472943544.800003</v>
      </c>
      <c r="D311" s="2">
        <v>5161797749.1672001</v>
      </c>
      <c r="E311" s="2">
        <v>14654018237.4</v>
      </c>
      <c r="F311" s="2">
        <v>2132501920.52</v>
      </c>
    </row>
    <row r="312" spans="1:6" x14ac:dyDescent="0.25">
      <c r="A312" s="1">
        <v>43298</v>
      </c>
      <c r="B312" s="2">
        <v>115615494416.25</v>
      </c>
      <c r="C312" s="2">
        <v>48370950335.5</v>
      </c>
      <c r="D312" s="2">
        <v>4843006522.3505096</v>
      </c>
      <c r="E312" s="2">
        <v>13848111610.200001</v>
      </c>
      <c r="F312" s="2">
        <v>2023284971.04</v>
      </c>
    </row>
    <row r="313" spans="1:6" x14ac:dyDescent="0.25">
      <c r="A313" s="1">
        <v>43297</v>
      </c>
      <c r="B313" s="2">
        <v>109038931875.028</v>
      </c>
      <c r="C313" s="2">
        <v>45372816389.099998</v>
      </c>
      <c r="D313" s="2">
        <v>4535020151.1999998</v>
      </c>
      <c r="E313" s="2">
        <v>12490912401</v>
      </c>
      <c r="F313" s="2">
        <v>1903116999.1600001</v>
      </c>
    </row>
    <row r="314" spans="1:6" x14ac:dyDescent="0.25">
      <c r="A314" s="1">
        <v>43296</v>
      </c>
      <c r="B314" s="2">
        <v>107583466607.715</v>
      </c>
      <c r="C314" s="2">
        <v>43899432922</v>
      </c>
      <c r="D314" s="2">
        <v>4404162395.6207199</v>
      </c>
      <c r="E314" s="2">
        <v>12119236795.5</v>
      </c>
      <c r="F314" s="2">
        <v>1840688347.23</v>
      </c>
    </row>
    <row r="315" spans="1:6" x14ac:dyDescent="0.25">
      <c r="A315" s="1">
        <v>43295</v>
      </c>
      <c r="B315" s="2">
        <v>107140639094.562</v>
      </c>
      <c r="C315" s="2">
        <v>43752098681.900002</v>
      </c>
      <c r="D315" s="2">
        <v>4418690234.5492697</v>
      </c>
      <c r="E315" s="2">
        <v>12004706228.700001</v>
      </c>
      <c r="F315" s="2">
        <v>1793655990.5599999</v>
      </c>
    </row>
    <row r="316" spans="1:6" x14ac:dyDescent="0.25">
      <c r="A316" s="1">
        <v>43294</v>
      </c>
      <c r="B316" s="2">
        <v>106916654627.259</v>
      </c>
      <c r="C316" s="2">
        <v>43363775458.699997</v>
      </c>
      <c r="D316" s="2">
        <v>4435928017.3676901</v>
      </c>
      <c r="E316" s="2">
        <v>11835031087.9</v>
      </c>
      <c r="F316" s="2">
        <v>1737330663.4400001</v>
      </c>
    </row>
    <row r="317" spans="1:6" x14ac:dyDescent="0.25">
      <c r="A317" s="1">
        <v>43293</v>
      </c>
      <c r="B317" s="2">
        <v>109678870041.513</v>
      </c>
      <c r="C317" s="2">
        <v>44942040481.900002</v>
      </c>
      <c r="D317" s="2">
        <v>4509161181.3977299</v>
      </c>
      <c r="E317" s="2">
        <v>12184074791.200001</v>
      </c>
      <c r="F317" s="2">
        <v>1787071531.79</v>
      </c>
    </row>
    <row r="318" spans="1:6" x14ac:dyDescent="0.25">
      <c r="A318" s="1">
        <v>43292</v>
      </c>
      <c r="B318" s="2">
        <v>108535670495.005</v>
      </c>
      <c r="C318" s="2">
        <v>43726685337.800003</v>
      </c>
      <c r="D318" s="2">
        <v>4367025057.6294699</v>
      </c>
      <c r="E318" s="2">
        <v>11870771447.1</v>
      </c>
      <c r="F318" s="2">
        <v>1808239459.74</v>
      </c>
    </row>
    <row r="319" spans="1:6" x14ac:dyDescent="0.25">
      <c r="A319" s="1">
        <v>43291</v>
      </c>
      <c r="B319" s="2">
        <v>115526738944.483</v>
      </c>
      <c r="C319" s="2">
        <v>47907822852.5</v>
      </c>
      <c r="D319" s="2">
        <v>4632857945.6792803</v>
      </c>
      <c r="E319" s="2">
        <v>12627498410.700001</v>
      </c>
      <c r="F319" s="2">
        <v>1900939633.9300001</v>
      </c>
    </row>
    <row r="320" spans="1:6" x14ac:dyDescent="0.25">
      <c r="A320" s="1">
        <v>43290</v>
      </c>
      <c r="B320" s="2">
        <v>116129186926.211</v>
      </c>
      <c r="C320" s="2">
        <v>49177434874</v>
      </c>
      <c r="D320" s="2">
        <v>4732371608.18822</v>
      </c>
      <c r="E320" s="2">
        <v>12948654077.700001</v>
      </c>
      <c r="F320" s="2">
        <v>1993322173.6300001</v>
      </c>
    </row>
    <row r="321" spans="1:6" x14ac:dyDescent="0.25">
      <c r="A321" s="1">
        <v>43289</v>
      </c>
      <c r="B321" s="2">
        <v>117535319865</v>
      </c>
      <c r="C321" s="2">
        <v>49487844866</v>
      </c>
      <c r="D321" s="2">
        <v>4944223801.2165003</v>
      </c>
      <c r="E321" s="2">
        <v>13364387936.9</v>
      </c>
      <c r="F321" s="2">
        <v>2020317872.9400001</v>
      </c>
    </row>
    <row r="322" spans="1:6" x14ac:dyDescent="0.25">
      <c r="A322" s="1">
        <v>43288</v>
      </c>
      <c r="B322" s="2">
        <v>114281096423.364</v>
      </c>
      <c r="C322" s="2">
        <v>47666984681.099998</v>
      </c>
      <c r="D322" s="2">
        <v>4779375365.6310902</v>
      </c>
      <c r="E322" s="2">
        <v>12690697150.299999</v>
      </c>
      <c r="F322" s="2">
        <v>1976696351.7</v>
      </c>
    </row>
    <row r="323" spans="1:6" x14ac:dyDescent="0.25">
      <c r="A323" s="1">
        <v>43287</v>
      </c>
      <c r="B323" s="2">
        <v>113754032814.28</v>
      </c>
      <c r="C323" s="2">
        <v>47687609710.800003</v>
      </c>
      <c r="D323" s="2">
        <v>4803115248.11129</v>
      </c>
      <c r="E323" s="2">
        <v>12891275644</v>
      </c>
      <c r="F323" s="2">
        <v>1982296637.5899999</v>
      </c>
    </row>
    <row r="324" spans="1:6" x14ac:dyDescent="0.25">
      <c r="A324" s="1">
        <v>43286</v>
      </c>
      <c r="B324" s="2">
        <v>113072831430</v>
      </c>
      <c r="C324" s="2">
        <v>46967336536</v>
      </c>
      <c r="D324" s="2">
        <v>4905669781.0780802</v>
      </c>
      <c r="E324" s="2">
        <v>13145143823.6</v>
      </c>
      <c r="F324" s="2">
        <v>2009002709.8299999</v>
      </c>
    </row>
    <row r="325" spans="1:6" x14ac:dyDescent="0.25">
      <c r="A325" s="1">
        <v>43285</v>
      </c>
      <c r="B325" s="2">
        <v>112224834069.838</v>
      </c>
      <c r="C325" s="2">
        <v>46641842606.599998</v>
      </c>
      <c r="D325" s="2">
        <v>4877272842.9344902</v>
      </c>
      <c r="E325" s="2">
        <v>13051232153.700001</v>
      </c>
      <c r="F325" s="2">
        <v>1948137022.79</v>
      </c>
    </row>
    <row r="326" spans="1:6" x14ac:dyDescent="0.25">
      <c r="A326" s="1">
        <v>43284</v>
      </c>
      <c r="B326" s="2">
        <v>112998312052.752</v>
      </c>
      <c r="C326" s="2">
        <v>47761299859.400002</v>
      </c>
      <c r="D326" s="2">
        <v>4888579249.94312</v>
      </c>
      <c r="E326" s="2">
        <v>13345034621.299999</v>
      </c>
      <c r="F326" s="2">
        <v>2033944780.0799999</v>
      </c>
    </row>
    <row r="327" spans="1:6" x14ac:dyDescent="0.25">
      <c r="A327" s="1">
        <v>43283</v>
      </c>
      <c r="B327" s="2">
        <v>109284265206.98199</v>
      </c>
      <c r="C327" s="2">
        <v>45585108159.199997</v>
      </c>
      <c r="D327" s="2">
        <v>4594163077.9931898</v>
      </c>
      <c r="E327" s="2">
        <v>12727056188.9</v>
      </c>
      <c r="F327" s="2">
        <v>1924990133.97</v>
      </c>
    </row>
    <row r="328" spans="1:6" x14ac:dyDescent="0.25">
      <c r="A328" s="1">
        <v>43282</v>
      </c>
      <c r="B328" s="2">
        <v>109808912999.81799</v>
      </c>
      <c r="C328" s="2">
        <v>45718425468.099998</v>
      </c>
      <c r="D328" s="2">
        <v>4663826421.7285604</v>
      </c>
      <c r="E328" s="2">
        <v>12896762035.1</v>
      </c>
      <c r="F328" s="2">
        <v>1952541075.4100001</v>
      </c>
    </row>
    <row r="329" spans="1:6" x14ac:dyDescent="0.25">
      <c r="A329" s="1">
        <v>43281</v>
      </c>
      <c r="B329" s="2">
        <v>106415721101</v>
      </c>
      <c r="C329" s="2">
        <v>43798579440.800003</v>
      </c>
      <c r="D329" s="2">
        <v>4516854495.5960398</v>
      </c>
      <c r="E329" s="2">
        <v>12341935922.700001</v>
      </c>
      <c r="F329" s="2">
        <v>1913899743.04</v>
      </c>
    </row>
    <row r="330" spans="1:6" x14ac:dyDescent="0.25">
      <c r="A330" s="1">
        <v>43280</v>
      </c>
      <c r="B330" s="2">
        <v>100992500364</v>
      </c>
      <c r="C330" s="2">
        <v>42422226051.900002</v>
      </c>
      <c r="D330" s="2">
        <v>4278561368.8463802</v>
      </c>
      <c r="E330" s="2">
        <v>11410618880.1</v>
      </c>
      <c r="F330" s="2">
        <v>1791278814.8299999</v>
      </c>
    </row>
    <row r="331" spans="1:6" x14ac:dyDescent="0.25">
      <c r="A331" s="1">
        <v>43279</v>
      </c>
      <c r="B331" s="2">
        <v>105347790873</v>
      </c>
      <c r="C331" s="2">
        <v>44391444976.199997</v>
      </c>
      <c r="D331" s="2">
        <v>4610243460.48351</v>
      </c>
      <c r="E331" s="2">
        <v>12299147227.5</v>
      </c>
      <c r="F331" s="2">
        <v>1871132743.73</v>
      </c>
    </row>
    <row r="332" spans="1:6" x14ac:dyDescent="0.25">
      <c r="A332" s="1">
        <v>43278</v>
      </c>
      <c r="B332" s="2">
        <v>104158539380.494</v>
      </c>
      <c r="C332" s="2">
        <v>43373920805.400002</v>
      </c>
      <c r="D332" s="2">
        <v>4397656010.1512499</v>
      </c>
      <c r="E332" s="2">
        <v>12015471670.700001</v>
      </c>
      <c r="F332" s="2">
        <v>1891880289.6099999</v>
      </c>
    </row>
    <row r="333" spans="1:6" x14ac:dyDescent="0.25">
      <c r="A333" s="1">
        <v>43277</v>
      </c>
      <c r="B333" s="2">
        <v>107044673109.006</v>
      </c>
      <c r="C333" s="2">
        <v>46223001270.400002</v>
      </c>
      <c r="D333" s="2">
        <v>4675946925.5868301</v>
      </c>
      <c r="E333" s="2">
        <v>13028685354.4</v>
      </c>
      <c r="F333" s="2">
        <v>1967337451.29</v>
      </c>
    </row>
    <row r="334" spans="1:6" x14ac:dyDescent="0.25">
      <c r="A334" s="1">
        <v>43276</v>
      </c>
      <c r="B334" s="2">
        <v>105636969732</v>
      </c>
      <c r="C334" s="2">
        <v>45732834442.199997</v>
      </c>
      <c r="D334" s="2">
        <v>4592395648.7839403</v>
      </c>
      <c r="E334" s="2">
        <v>12879006853.9</v>
      </c>
      <c r="F334" s="2">
        <v>1937547154.3</v>
      </c>
    </row>
    <row r="335" spans="1:6" x14ac:dyDescent="0.25">
      <c r="A335" s="1">
        <v>43275</v>
      </c>
      <c r="B335" s="2">
        <v>105493404393.10001</v>
      </c>
      <c r="C335" s="2">
        <v>47612019254.900002</v>
      </c>
      <c r="D335" s="2">
        <v>4726244924.6100502</v>
      </c>
      <c r="E335" s="2">
        <v>13152947192</v>
      </c>
      <c r="F335" s="2">
        <v>1980383157.25</v>
      </c>
    </row>
    <row r="336" spans="1:6" x14ac:dyDescent="0.25">
      <c r="A336" s="1">
        <v>43274</v>
      </c>
      <c r="B336" s="2">
        <v>104210746150</v>
      </c>
      <c r="C336" s="2">
        <v>46749901530.099998</v>
      </c>
      <c r="D336" s="2">
        <v>4859663129.2300196</v>
      </c>
      <c r="E336" s="2">
        <v>12990026005.6</v>
      </c>
      <c r="F336" s="2">
        <v>1930082288.5899999</v>
      </c>
    </row>
    <row r="337" spans="1:6" x14ac:dyDescent="0.25">
      <c r="A337" s="1">
        <v>43273</v>
      </c>
      <c r="B337" s="2">
        <v>115281670267.526</v>
      </c>
      <c r="C337" s="2">
        <v>52846728451.5</v>
      </c>
      <c r="D337" s="2">
        <v>5534561611.7762098</v>
      </c>
      <c r="E337" s="2">
        <v>15047844523.6</v>
      </c>
      <c r="F337" s="2">
        <v>2125800174.9400001</v>
      </c>
    </row>
    <row r="338" spans="1:6" x14ac:dyDescent="0.25">
      <c r="A338" s="1">
        <v>43272</v>
      </c>
      <c r="B338" s="2">
        <v>115991067684</v>
      </c>
      <c r="C338" s="2">
        <v>53763934551.699997</v>
      </c>
      <c r="D338" s="2">
        <v>5586882990.5090199</v>
      </c>
      <c r="E338" s="2">
        <v>15315905183</v>
      </c>
      <c r="F338" s="2">
        <v>2163087447.1300001</v>
      </c>
    </row>
    <row r="339" spans="1:6" x14ac:dyDescent="0.25">
      <c r="A339" s="1">
        <v>43271</v>
      </c>
      <c r="B339" s="2">
        <v>115817316429.519</v>
      </c>
      <c r="C339" s="2">
        <v>53959484128.400002</v>
      </c>
      <c r="D339" s="2">
        <v>5647532502.74436</v>
      </c>
      <c r="E339" s="2">
        <v>15573430240.799999</v>
      </c>
      <c r="F339" s="2">
        <v>2137193950.3499999</v>
      </c>
    </row>
    <row r="340" spans="1:6" x14ac:dyDescent="0.25">
      <c r="A340" s="1">
        <v>43270</v>
      </c>
      <c r="B340" s="2">
        <v>115318716833.649</v>
      </c>
      <c r="C340" s="2">
        <v>51995769728.099998</v>
      </c>
      <c r="D340" s="2">
        <v>5632691430.5256901</v>
      </c>
      <c r="E340" s="2">
        <v>15232760073</v>
      </c>
      <c r="F340" s="2">
        <v>2160989833.1700001</v>
      </c>
    </row>
    <row r="341" spans="1:6" x14ac:dyDescent="0.25">
      <c r="A341" s="1">
        <v>43269</v>
      </c>
      <c r="B341" s="2">
        <v>111332613112</v>
      </c>
      <c r="C341" s="2">
        <v>50018378892.699997</v>
      </c>
      <c r="D341" s="2">
        <v>5462550172.9814796</v>
      </c>
      <c r="E341" s="2">
        <v>14609045969.200001</v>
      </c>
      <c r="F341" s="2">
        <v>2155327821.1700001</v>
      </c>
    </row>
    <row r="342" spans="1:6" x14ac:dyDescent="0.25">
      <c r="A342" s="1">
        <v>43268</v>
      </c>
      <c r="B342" s="2">
        <v>111925781149.498</v>
      </c>
      <c r="C342" s="2">
        <v>50015782968.300003</v>
      </c>
      <c r="D342" s="2">
        <v>5572608924.57481</v>
      </c>
      <c r="E342" s="2">
        <v>14663378726.700001</v>
      </c>
      <c r="F342" s="2">
        <v>2169879841.8699999</v>
      </c>
    </row>
    <row r="343" spans="1:6" x14ac:dyDescent="0.25">
      <c r="A343" s="1">
        <v>43267</v>
      </c>
      <c r="B343" s="2">
        <v>110372701920</v>
      </c>
      <c r="C343" s="2">
        <v>49099909957.5</v>
      </c>
      <c r="D343" s="2">
        <v>5505868190.9020205</v>
      </c>
      <c r="E343" s="2">
        <v>14560420743.700001</v>
      </c>
      <c r="F343" s="2">
        <v>2093281484.95</v>
      </c>
    </row>
    <row r="344" spans="1:6" x14ac:dyDescent="0.25">
      <c r="A344" s="1">
        <v>43266</v>
      </c>
      <c r="B344" s="2">
        <v>114096981580.48399</v>
      </c>
      <c r="C344" s="2">
        <v>52100031134.800003</v>
      </c>
      <c r="D344" s="2">
        <v>5762624179.2226896</v>
      </c>
      <c r="E344" s="2">
        <v>15405563098.200001</v>
      </c>
      <c r="F344" s="2">
        <v>2182501090.6599998</v>
      </c>
    </row>
    <row r="345" spans="1:6" x14ac:dyDescent="0.25">
      <c r="A345" s="1">
        <v>43265</v>
      </c>
      <c r="B345" s="2">
        <v>108420666081.797</v>
      </c>
      <c r="C345" s="2">
        <v>47875798649.800003</v>
      </c>
      <c r="D345" s="2">
        <v>5356008326.6805696</v>
      </c>
      <c r="E345" s="2">
        <v>14509387915.5</v>
      </c>
      <c r="F345" s="2">
        <v>2000161744.9400001</v>
      </c>
    </row>
    <row r="346" spans="1:6" x14ac:dyDescent="0.25">
      <c r="A346" s="1">
        <v>43264</v>
      </c>
      <c r="B346" s="2">
        <v>112751893896</v>
      </c>
      <c r="C346" s="2">
        <v>49831361148.800003</v>
      </c>
      <c r="D346" s="2">
        <v>5742173455.7142801</v>
      </c>
      <c r="E346" s="2">
        <v>15066814478.6</v>
      </c>
      <c r="F346" s="2">
        <v>2128742541.21</v>
      </c>
    </row>
    <row r="347" spans="1:6" x14ac:dyDescent="0.25">
      <c r="A347" s="1">
        <v>43263</v>
      </c>
      <c r="B347" s="2">
        <v>118019773218</v>
      </c>
      <c r="C347" s="2">
        <v>53291355820.099998</v>
      </c>
      <c r="D347" s="2">
        <v>6118745822.3163204</v>
      </c>
      <c r="E347" s="2">
        <v>16443991670.5</v>
      </c>
      <c r="F347" s="2">
        <v>2197104008.4499998</v>
      </c>
    </row>
    <row r="348" spans="1:6" x14ac:dyDescent="0.25">
      <c r="A348" s="1">
        <v>43262</v>
      </c>
      <c r="B348" s="2">
        <v>116186689075.94</v>
      </c>
      <c r="C348" s="2">
        <v>52495316829.900002</v>
      </c>
      <c r="D348" s="2">
        <v>6066076429.2799397</v>
      </c>
      <c r="E348" s="2">
        <v>16107026964.9</v>
      </c>
      <c r="F348" s="2">
        <v>2225663016.8099999</v>
      </c>
    </row>
    <row r="349" spans="1:6" x14ac:dyDescent="0.25">
      <c r="A349" s="1">
        <v>43261</v>
      </c>
      <c r="B349" s="2">
        <v>128139936142.5</v>
      </c>
      <c r="C349" s="2">
        <v>59431612910.099998</v>
      </c>
      <c r="D349" s="2">
        <v>6692455723.9312401</v>
      </c>
      <c r="E349" s="2">
        <v>18678704354.599998</v>
      </c>
      <c r="F349" s="2">
        <v>2433855899.4499998</v>
      </c>
    </row>
    <row r="350" spans="1:6" x14ac:dyDescent="0.25">
      <c r="A350" s="1">
        <v>43260</v>
      </c>
      <c r="B350" s="2">
        <v>130399787660.483</v>
      </c>
      <c r="C350" s="2">
        <v>60076621474.5</v>
      </c>
      <c r="D350" s="2">
        <v>6835743134.8182402</v>
      </c>
      <c r="E350" s="2">
        <v>19190374515</v>
      </c>
      <c r="F350" s="2">
        <v>2522643519.46</v>
      </c>
    </row>
    <row r="351" spans="1:6" x14ac:dyDescent="0.25">
      <c r="A351" s="1">
        <v>43259</v>
      </c>
      <c r="B351" s="2">
        <v>131284954584.63901</v>
      </c>
      <c r="C351" s="2">
        <v>60516410173.300003</v>
      </c>
      <c r="D351" s="2">
        <v>6914399097.5143204</v>
      </c>
      <c r="E351" s="2">
        <v>19669024037.599998</v>
      </c>
      <c r="F351" s="2">
        <v>2539499542.5100002</v>
      </c>
    </row>
    <row r="352" spans="1:6" x14ac:dyDescent="0.25">
      <c r="A352" s="1">
        <v>43258</v>
      </c>
      <c r="B352" s="2">
        <v>130684804043</v>
      </c>
      <c r="C352" s="2">
        <v>60728713659.400002</v>
      </c>
      <c r="D352" s="2">
        <v>6901946525.5604</v>
      </c>
      <c r="E352" s="2">
        <v>19491916059</v>
      </c>
      <c r="F352" s="2">
        <v>2553205888.0900002</v>
      </c>
    </row>
    <row r="353" spans="1:6" x14ac:dyDescent="0.25">
      <c r="A353" s="1">
        <v>43257</v>
      </c>
      <c r="B353" s="2">
        <v>130246702231.379</v>
      </c>
      <c r="C353" s="2">
        <v>60973572885.300003</v>
      </c>
      <c r="D353" s="2">
        <v>6931717423.9597197</v>
      </c>
      <c r="E353" s="2">
        <v>19870777435</v>
      </c>
      <c r="F353" s="2">
        <v>2578312911.1500001</v>
      </c>
    </row>
    <row r="354" spans="1:6" x14ac:dyDescent="0.25">
      <c r="A354" s="1">
        <v>43256</v>
      </c>
      <c r="B354" s="2">
        <v>128096994795</v>
      </c>
      <c r="C354" s="2">
        <v>59277676048.199997</v>
      </c>
      <c r="D354" s="2">
        <v>6816538642.5636797</v>
      </c>
      <c r="E354" s="2">
        <v>19057459746</v>
      </c>
      <c r="F354" s="2">
        <v>2573374196.7199998</v>
      </c>
    </row>
    <row r="355" spans="1:6" x14ac:dyDescent="0.25">
      <c r="A355" s="1">
        <v>43255</v>
      </c>
      <c r="B355" s="2">
        <v>131864902634.98599</v>
      </c>
      <c r="C355" s="2">
        <v>61865521596.400002</v>
      </c>
      <c r="D355" s="2">
        <v>7116525732.0857296</v>
      </c>
      <c r="E355" s="2">
        <v>20097492402</v>
      </c>
      <c r="F355" s="2">
        <v>2683978548.0999999</v>
      </c>
    </row>
    <row r="356" spans="1:6" x14ac:dyDescent="0.25">
      <c r="A356" s="1">
        <v>43254</v>
      </c>
      <c r="B356" s="2">
        <v>130302863372.002</v>
      </c>
      <c r="C356" s="2">
        <v>59037857332.900002</v>
      </c>
      <c r="D356" s="2">
        <v>7005420786.4498796</v>
      </c>
      <c r="E356" s="2">
        <v>18590856859.099998</v>
      </c>
      <c r="F356" s="2">
        <v>2615102587.8600001</v>
      </c>
    </row>
    <row r="357" spans="1:6" x14ac:dyDescent="0.25">
      <c r="A357" s="1">
        <v>43253</v>
      </c>
      <c r="B357" s="2">
        <v>128659535537.75301</v>
      </c>
      <c r="C357" s="2">
        <v>57944805336.699997</v>
      </c>
      <c r="D357" s="2">
        <v>6807010979.1636496</v>
      </c>
      <c r="E357" s="2">
        <v>17219362667.900002</v>
      </c>
      <c r="F357" s="2">
        <v>2556050532.4899998</v>
      </c>
    </row>
    <row r="358" spans="1:6" x14ac:dyDescent="0.25">
      <c r="A358" s="1">
        <v>43252</v>
      </c>
      <c r="B358" s="2">
        <v>128030288378.002</v>
      </c>
      <c r="C358" s="2">
        <v>57757609564.599998</v>
      </c>
      <c r="D358" s="2">
        <v>6703030532.3072796</v>
      </c>
      <c r="E358" s="2">
        <v>17085824298</v>
      </c>
      <c r="F358" s="2">
        <v>2471209336.7600002</v>
      </c>
    </row>
    <row r="359" spans="1:6" x14ac:dyDescent="0.25">
      <c r="A359" s="1">
        <v>43251</v>
      </c>
      <c r="B359" s="2">
        <v>126400762050</v>
      </c>
      <c r="C359" s="2">
        <v>55732178695.900002</v>
      </c>
      <c r="D359" s="2">
        <v>6661569994.4900398</v>
      </c>
      <c r="E359" s="2">
        <v>16876665962.299999</v>
      </c>
      <c r="F359" s="2">
        <v>2458325589.77</v>
      </c>
    </row>
    <row r="360" spans="1:6" x14ac:dyDescent="0.25">
      <c r="A360" s="1">
        <v>43250</v>
      </c>
      <c r="B360" s="2">
        <v>127470568963.5</v>
      </c>
      <c r="C360" s="2">
        <v>56552138348.699997</v>
      </c>
      <c r="D360" s="2">
        <v>6785887976.81987</v>
      </c>
      <c r="E360" s="2">
        <v>16986326846.200001</v>
      </c>
      <c r="F360" s="2">
        <v>2566866442.1700001</v>
      </c>
    </row>
    <row r="361" spans="1:6" x14ac:dyDescent="0.25">
      <c r="A361" s="1">
        <v>43249</v>
      </c>
      <c r="B361" s="2">
        <v>121647922695.44299</v>
      </c>
      <c r="C361" s="2">
        <v>51484990393.599998</v>
      </c>
      <c r="D361" s="2">
        <v>6347090423.8815699</v>
      </c>
      <c r="E361" s="2">
        <v>15385508483.1</v>
      </c>
      <c r="F361" s="2">
        <v>2335374428.02</v>
      </c>
    </row>
    <row r="362" spans="1:6" x14ac:dyDescent="0.25">
      <c r="A362" s="1">
        <v>43248</v>
      </c>
      <c r="B362" s="2">
        <v>125762192648.85201</v>
      </c>
      <c r="C362" s="2">
        <v>57147588448.800003</v>
      </c>
      <c r="D362" s="2">
        <v>6691006943.7610197</v>
      </c>
      <c r="E362" s="2">
        <v>17095673538.1</v>
      </c>
      <c r="F362" s="2">
        <v>2558204795.48</v>
      </c>
    </row>
    <row r="363" spans="1:6" x14ac:dyDescent="0.25">
      <c r="A363" s="1">
        <v>43247</v>
      </c>
      <c r="B363" s="2">
        <v>125590274875.5</v>
      </c>
      <c r="C363" s="2">
        <v>58679424252</v>
      </c>
      <c r="D363" s="2">
        <v>6721898825.1461897</v>
      </c>
      <c r="E363" s="2">
        <v>17309174025.599998</v>
      </c>
      <c r="F363" s="2">
        <v>2604284110.8000002</v>
      </c>
    </row>
    <row r="364" spans="1:6" x14ac:dyDescent="0.25">
      <c r="A364" s="1">
        <v>43246</v>
      </c>
      <c r="B364" s="2">
        <v>127696702198</v>
      </c>
      <c r="C364" s="2">
        <v>58558969488.900002</v>
      </c>
      <c r="D364" s="2">
        <v>6768127816.1713696</v>
      </c>
      <c r="E364" s="2">
        <v>17418467640</v>
      </c>
      <c r="F364" s="2">
        <v>2745930256.23</v>
      </c>
    </row>
    <row r="365" spans="1:6" x14ac:dyDescent="0.25">
      <c r="A365" s="1">
        <v>43245</v>
      </c>
      <c r="B365" s="2">
        <v>129486577799.91701</v>
      </c>
      <c r="C365" s="2">
        <v>60013304046.099998</v>
      </c>
      <c r="D365" s="2">
        <v>6948817713.0850601</v>
      </c>
      <c r="E365" s="2">
        <v>18395050517</v>
      </c>
      <c r="F365" s="2">
        <v>2786973047.6500001</v>
      </c>
    </row>
    <row r="366" spans="1:6" x14ac:dyDescent="0.25">
      <c r="A366" s="1">
        <v>43244</v>
      </c>
      <c r="B366" s="2">
        <v>128938267136</v>
      </c>
      <c r="C366" s="2">
        <v>58246215440.199997</v>
      </c>
      <c r="D366" s="2">
        <v>6756155231.8306799</v>
      </c>
      <c r="E366" s="2">
        <v>17231838646.900002</v>
      </c>
      <c r="F366" s="2">
        <v>2753778649.98</v>
      </c>
    </row>
    <row r="367" spans="1:6" x14ac:dyDescent="0.25">
      <c r="A367" s="1">
        <v>43243</v>
      </c>
      <c r="B367" s="2">
        <v>137040347525.13</v>
      </c>
      <c r="C367" s="2">
        <v>64423959190.199997</v>
      </c>
      <c r="D367" s="2">
        <v>7299578707.3725595</v>
      </c>
      <c r="E367" s="2">
        <v>19582833947</v>
      </c>
      <c r="F367" s="2">
        <v>2915099423.6300001</v>
      </c>
    </row>
    <row r="368" spans="1:6" x14ac:dyDescent="0.25">
      <c r="A368" s="1">
        <v>43242</v>
      </c>
      <c r="B368" s="2">
        <v>143550153133.77301</v>
      </c>
      <c r="C368" s="2">
        <v>69740910803.100006</v>
      </c>
      <c r="D368" s="2">
        <v>7605833978.9300499</v>
      </c>
      <c r="E368" s="2">
        <v>21148393825</v>
      </c>
      <c r="F368" s="2">
        <v>3109700702.46</v>
      </c>
    </row>
    <row r="369" spans="1:6" x14ac:dyDescent="0.25">
      <c r="A369" s="1">
        <v>43241</v>
      </c>
      <c r="B369" s="2">
        <v>145280585627.00601</v>
      </c>
      <c r="C369" s="2">
        <v>71420554714.600006</v>
      </c>
      <c r="D369" s="2">
        <v>7908691757.8654299</v>
      </c>
      <c r="E369" s="2">
        <v>22214861421</v>
      </c>
      <c r="F369" s="2">
        <v>3253833537.3200002</v>
      </c>
    </row>
    <row r="370" spans="1:6" x14ac:dyDescent="0.25">
      <c r="A370" s="1">
        <v>43240</v>
      </c>
      <c r="B370" s="2">
        <v>140571074387.38699</v>
      </c>
      <c r="C370" s="2">
        <v>69486843058</v>
      </c>
      <c r="D370" s="2">
        <v>7659190579.0258398</v>
      </c>
      <c r="E370" s="2">
        <v>20278583790.299999</v>
      </c>
      <c r="F370" s="2">
        <v>3126940272.1799998</v>
      </c>
    </row>
    <row r="371" spans="1:6" x14ac:dyDescent="0.25">
      <c r="A371" s="1">
        <v>43239</v>
      </c>
      <c r="B371" s="2">
        <v>140704883109</v>
      </c>
      <c r="C371" s="2">
        <v>69188816154.699997</v>
      </c>
      <c r="D371" s="2">
        <v>7696275844.0969496</v>
      </c>
      <c r="E371" s="2">
        <v>20677615239.5</v>
      </c>
      <c r="F371" s="2">
        <v>3199174950.5700002</v>
      </c>
    </row>
    <row r="372" spans="1:6" x14ac:dyDescent="0.25">
      <c r="A372" s="1">
        <v>43238</v>
      </c>
      <c r="B372" s="2">
        <v>137895707170.98999</v>
      </c>
      <c r="C372" s="2">
        <v>66888121284.199997</v>
      </c>
      <c r="D372" s="2">
        <v>7509796858.2272501</v>
      </c>
      <c r="E372" s="2">
        <v>20599862303</v>
      </c>
      <c r="F372" s="2">
        <v>3134117067.6799998</v>
      </c>
    </row>
    <row r="373" spans="1:6" x14ac:dyDescent="0.25">
      <c r="A373" s="1">
        <v>43237</v>
      </c>
      <c r="B373" s="2">
        <v>142622094728.75</v>
      </c>
      <c r="C373" s="2">
        <v>70517923011.800003</v>
      </c>
      <c r="D373" s="2">
        <v>7896320999.1350403</v>
      </c>
      <c r="E373" s="2">
        <v>22105694070.799999</v>
      </c>
      <c r="F373" s="2">
        <v>3335856585.5999999</v>
      </c>
    </row>
    <row r="374" spans="1:6" x14ac:dyDescent="0.25">
      <c r="A374" s="1">
        <v>43236</v>
      </c>
      <c r="B374" s="2">
        <v>144897499749.504</v>
      </c>
      <c r="C374" s="2">
        <v>70440905475.899994</v>
      </c>
      <c r="D374" s="2">
        <v>7899071877.1350603</v>
      </c>
      <c r="E374" s="2">
        <v>22988806592.400002</v>
      </c>
      <c r="F374" s="2">
        <v>3466625544.54</v>
      </c>
    </row>
    <row r="375" spans="1:6" x14ac:dyDescent="0.25">
      <c r="A375" s="1">
        <v>43235</v>
      </c>
      <c r="B375" s="2">
        <v>148298456855.96799</v>
      </c>
      <c r="C375" s="2">
        <v>72719081259.399994</v>
      </c>
      <c r="D375" s="2">
        <v>8340380691.0446796</v>
      </c>
      <c r="E375" s="2">
        <v>24500428222.200001</v>
      </c>
      <c r="F375" s="2">
        <v>3488929843.3400002</v>
      </c>
    </row>
    <row r="376" spans="1:6" x14ac:dyDescent="0.25">
      <c r="A376" s="1">
        <v>43234</v>
      </c>
      <c r="B376" s="2">
        <v>148417420607.74899</v>
      </c>
      <c r="C376" s="2">
        <v>72861958786.399994</v>
      </c>
      <c r="D376" s="2">
        <v>8176242627.2374201</v>
      </c>
      <c r="E376" s="2">
        <v>25509337323.5</v>
      </c>
      <c r="F376" s="2">
        <v>3361508931.4899998</v>
      </c>
    </row>
    <row r="377" spans="1:6" x14ac:dyDescent="0.25">
      <c r="A377" s="1">
        <v>43233</v>
      </c>
      <c r="B377" s="2">
        <v>145037418076.84399</v>
      </c>
      <c r="C377" s="2">
        <v>68317231118</v>
      </c>
      <c r="D377" s="2">
        <v>8014462384.4304504</v>
      </c>
      <c r="E377" s="2">
        <v>25257108450</v>
      </c>
      <c r="F377" s="2">
        <v>3260879708.1300001</v>
      </c>
    </row>
    <row r="378" spans="1:6" x14ac:dyDescent="0.25">
      <c r="A378" s="1">
        <v>43232</v>
      </c>
      <c r="B378" s="2">
        <v>143760466667.75101</v>
      </c>
      <c r="C378" s="2">
        <v>67578742523.199997</v>
      </c>
      <c r="D378" s="2">
        <v>7755918735.6684504</v>
      </c>
      <c r="E378" s="2">
        <v>23564116623.099998</v>
      </c>
      <c r="F378" s="2">
        <v>3140154196.75</v>
      </c>
    </row>
    <row r="379" spans="1:6" x14ac:dyDescent="0.25">
      <c r="A379" s="1">
        <v>43231</v>
      </c>
      <c r="B379" s="2">
        <v>154156066119.46301</v>
      </c>
      <c r="C379" s="2">
        <v>72248165992.5</v>
      </c>
      <c r="D379" s="2">
        <v>8442258889.7214098</v>
      </c>
      <c r="E379" s="2">
        <v>26154695742.400002</v>
      </c>
      <c r="F379" s="2">
        <v>3400504248.48</v>
      </c>
    </row>
    <row r="380" spans="1:6" x14ac:dyDescent="0.25">
      <c r="A380" s="1">
        <v>43230</v>
      </c>
      <c r="B380" s="2">
        <v>158790323132</v>
      </c>
      <c r="C380" s="2">
        <v>74773841484.899994</v>
      </c>
      <c r="D380" s="2">
        <v>8874969375.7893505</v>
      </c>
      <c r="E380" s="2">
        <v>28183487228</v>
      </c>
      <c r="F380" s="2">
        <v>3573459664.1399999</v>
      </c>
    </row>
    <row r="381" spans="1:6" x14ac:dyDescent="0.25">
      <c r="A381" s="1">
        <v>43229</v>
      </c>
      <c r="B381" s="2">
        <v>157031697317.5</v>
      </c>
      <c r="C381" s="2">
        <v>74790028011.800003</v>
      </c>
      <c r="D381" s="2">
        <v>9012422167.3795605</v>
      </c>
      <c r="E381" s="2">
        <v>27525307415.099998</v>
      </c>
      <c r="F381" s="2">
        <v>3572442682.8299999</v>
      </c>
    </row>
    <row r="382" spans="1:6" x14ac:dyDescent="0.25">
      <c r="A382" s="1">
        <v>43228</v>
      </c>
      <c r="B382" s="2">
        <v>159688317363.10199</v>
      </c>
      <c r="C382" s="2">
        <v>74984342711.800003</v>
      </c>
      <c r="D382" s="2">
        <v>9303685417.5360794</v>
      </c>
      <c r="E382" s="2">
        <v>28638399284.799999</v>
      </c>
      <c r="F382" s="2">
        <v>3697628553.5100002</v>
      </c>
    </row>
    <row r="383" spans="1:6" x14ac:dyDescent="0.25">
      <c r="A383" s="1">
        <v>43227</v>
      </c>
      <c r="B383" s="2">
        <v>164179064817.91599</v>
      </c>
      <c r="C383" s="2">
        <v>78775777750.399994</v>
      </c>
      <c r="D383" s="2">
        <v>9692454655.3289604</v>
      </c>
      <c r="E383" s="2">
        <v>30237357563</v>
      </c>
      <c r="F383" s="2">
        <v>3914198390.46</v>
      </c>
    </row>
    <row r="384" spans="1:6" x14ac:dyDescent="0.25">
      <c r="A384" s="1">
        <v>43226</v>
      </c>
      <c r="B384" s="2">
        <v>167558925830.62701</v>
      </c>
      <c r="C384" s="2">
        <v>81017424915.300003</v>
      </c>
      <c r="D384" s="2">
        <v>10043138517.173201</v>
      </c>
      <c r="E384" s="2">
        <v>30100088971</v>
      </c>
      <c r="F384" s="2">
        <v>4077053670.0999999</v>
      </c>
    </row>
    <row r="385" spans="1:6" x14ac:dyDescent="0.25">
      <c r="A385" s="1">
        <v>43225</v>
      </c>
      <c r="B385" s="2">
        <v>165073418768.31</v>
      </c>
      <c r="C385" s="2">
        <v>77872965099.5</v>
      </c>
      <c r="D385" s="2">
        <v>9495032123.7035809</v>
      </c>
      <c r="E385" s="2">
        <v>25954416961.900002</v>
      </c>
      <c r="F385" s="2">
        <v>3917145175.9899998</v>
      </c>
    </row>
    <row r="386" spans="1:6" x14ac:dyDescent="0.25">
      <c r="A386" s="1">
        <v>43224</v>
      </c>
      <c r="B386" s="2">
        <v>164973295475</v>
      </c>
      <c r="C386" s="2">
        <v>77083076650.300003</v>
      </c>
      <c r="D386" s="2">
        <v>9047811230.2993603</v>
      </c>
      <c r="E386" s="2">
        <v>25689029070.5</v>
      </c>
      <c r="F386" s="2">
        <v>4047981993.9499998</v>
      </c>
    </row>
    <row r="387" spans="1:6" x14ac:dyDescent="0.25">
      <c r="A387" s="1">
        <v>43223</v>
      </c>
      <c r="B387" s="2">
        <v>157103302840.776</v>
      </c>
      <c r="C387" s="2">
        <v>68118950663.300003</v>
      </c>
      <c r="D387" s="2">
        <v>8560126261.1151896</v>
      </c>
      <c r="E387" s="2">
        <v>24970309798.5</v>
      </c>
      <c r="F387" s="2">
        <v>3876994272.3899999</v>
      </c>
    </row>
    <row r="388" spans="1:6" x14ac:dyDescent="0.25">
      <c r="A388" s="1">
        <v>43222</v>
      </c>
      <c r="B388" s="2">
        <v>154885861895</v>
      </c>
      <c r="C388" s="2">
        <v>66863536076.300003</v>
      </c>
      <c r="D388" s="2">
        <v>8365658119.6645298</v>
      </c>
      <c r="E388" s="2">
        <v>23154433525.5</v>
      </c>
      <c r="F388" s="2">
        <v>3846021377.2199998</v>
      </c>
    </row>
    <row r="389" spans="1:6" x14ac:dyDescent="0.25">
      <c r="A389" s="1">
        <v>43221</v>
      </c>
      <c r="B389" s="2">
        <v>157367273413.50299</v>
      </c>
      <c r="C389" s="2">
        <v>66490842263.199997</v>
      </c>
      <c r="D389" s="2">
        <v>8357494706.6794996</v>
      </c>
      <c r="E389" s="2">
        <v>23068116324</v>
      </c>
      <c r="F389" s="2">
        <v>3804833577.5799999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bitcoin</vt:lpstr>
      <vt:lpstr>ethereum</vt:lpstr>
      <vt:lpstr>litecoin</vt:lpstr>
      <vt:lpstr>bitcoin-cash</vt:lpstr>
      <vt:lpstr>dash</vt:lpstr>
      <vt:lpstr>cryptocurrencies price</vt:lpstr>
      <vt:lpstr>crptcrrncs return</vt:lpstr>
      <vt:lpstr>for MAPE</vt:lpstr>
      <vt:lpstr>cryptocurrencies marketcap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Rogachev, Stanislav</dc:creator>
  <cp:lastModifiedBy>Rogachev, Stanislav</cp:lastModifiedBy>
  <dcterms:created xsi:type="dcterms:W3CDTF">2019-05-27T13:04:02Z</dcterms:created>
  <dcterms:modified xsi:type="dcterms:W3CDTF">2019-05-30T19:05:08Z</dcterms:modified>
</cp:coreProperties>
</file>