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KA\Documents\GMC\Mgt Analysis\"/>
    </mc:Choice>
  </mc:AlternateContent>
  <xr:revisionPtr revIDLastSave="0" documentId="13_ncr:1_{D6B9F78A-234A-451B-925F-477C168F58E7}" xr6:coauthVersionLast="47" xr6:coauthVersionMax="47" xr10:uidLastSave="{00000000-0000-0000-0000-000000000000}"/>
  <bookViews>
    <workbookView xWindow="-120" yWindow="-120" windowWidth="20730" windowHeight="11160" activeTab="2" xr2:uid="{A4B19A7A-59B5-4B62-874B-B2A499377677}"/>
  </bookViews>
  <sheets>
    <sheet name="Decision" sheetId="9" r:id="rId1"/>
    <sheet name="Revenue" sheetId="1" r:id="rId2"/>
    <sheet name="Cost of Production" sheetId="2" r:id="rId3"/>
    <sheet name="Hired Transport" sheetId="3" r:id="rId4"/>
    <sheet name="Shares &amp; Dividend" sheetId="4" r:id="rId5"/>
    <sheet name="Receipts &amp; Receivables" sheetId="5" r:id="rId6"/>
    <sheet name="Payments &amp; Payables" sheetId="6" r:id="rId7"/>
    <sheet name="Valuation" sheetId="7" r:id="rId8"/>
    <sheet name="Investment Performance" sheetId="8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2" l="1"/>
  <c r="AH7" i="2"/>
  <c r="AG7" i="2"/>
  <c r="AE7" i="2"/>
  <c r="AD7" i="2"/>
  <c r="AC7" i="2"/>
  <c r="Z7" i="2"/>
  <c r="AA7" i="2"/>
  <c r="Y7" i="2"/>
  <c r="O15" i="8"/>
  <c r="P14" i="8" s="1"/>
  <c r="O13" i="8"/>
  <c r="E29" i="8"/>
  <c r="G37" i="4"/>
  <c r="H37" i="4"/>
  <c r="I37" i="4"/>
  <c r="J37" i="4"/>
  <c r="F37" i="4"/>
  <c r="G29" i="9"/>
  <c r="F29" i="9"/>
  <c r="E29" i="9"/>
  <c r="P26" i="9"/>
  <c r="L26" i="9"/>
  <c r="G25" i="9"/>
  <c r="F25" i="9"/>
  <c r="E25" i="9"/>
  <c r="P24" i="9"/>
  <c r="L24" i="9"/>
  <c r="G24" i="9"/>
  <c r="F24" i="9"/>
  <c r="E24" i="9"/>
  <c r="P23" i="9"/>
  <c r="G20" i="9"/>
  <c r="F20" i="9"/>
  <c r="E20" i="9"/>
  <c r="G19" i="9"/>
  <c r="F19" i="9"/>
  <c r="E19" i="9"/>
  <c r="G18" i="9"/>
  <c r="F18" i="9"/>
  <c r="E18" i="9"/>
  <c r="G15" i="9"/>
  <c r="F15" i="9"/>
  <c r="P14" i="9"/>
  <c r="G14" i="9"/>
  <c r="F14" i="9"/>
  <c r="P13" i="9"/>
  <c r="N13" i="9"/>
  <c r="L13" i="9"/>
  <c r="G13" i="9"/>
  <c r="F13" i="9"/>
  <c r="P10" i="9"/>
  <c r="N10" i="9"/>
  <c r="G10" i="9"/>
  <c r="P9" i="9"/>
  <c r="N9" i="9"/>
  <c r="L9" i="9"/>
  <c r="G9" i="9"/>
  <c r="P8" i="9"/>
  <c r="N8" i="9"/>
  <c r="L8" i="9"/>
  <c r="F23" i="8"/>
  <c r="G23" i="8"/>
  <c r="H23" i="8"/>
  <c r="I23" i="8"/>
  <c r="E23" i="8"/>
  <c r="D31" i="8"/>
  <c r="D26" i="8"/>
  <c r="E25" i="8"/>
  <c r="F25" i="8" s="1"/>
  <c r="G25" i="8" s="1"/>
  <c r="H25" i="8" s="1"/>
  <c r="I25" i="8" s="1"/>
  <c r="I26" i="8" s="1"/>
  <c r="W25" i="6"/>
  <c r="W24" i="6"/>
  <c r="X21" i="6"/>
  <c r="Z21" i="6"/>
  <c r="Z20" i="6"/>
  <c r="X19" i="6"/>
  <c r="X20" i="6"/>
  <c r="Z19" i="6"/>
  <c r="Z17" i="6"/>
  <c r="Z16" i="6"/>
  <c r="Z18" i="6"/>
  <c r="X18" i="6"/>
  <c r="Z12" i="6"/>
  <c r="X11" i="6"/>
  <c r="X10" i="6"/>
  <c r="Z11" i="6"/>
  <c r="Z10" i="6"/>
  <c r="X14" i="6"/>
  <c r="X15" i="6"/>
  <c r="X13" i="6"/>
  <c r="Z14" i="6"/>
  <c r="Z15" i="6"/>
  <c r="Z13" i="6"/>
  <c r="X17" i="6"/>
  <c r="X16" i="6"/>
  <c r="X12" i="6"/>
  <c r="Z9" i="6"/>
  <c r="Z8" i="6"/>
  <c r="X9" i="6"/>
  <c r="X8" i="6"/>
  <c r="Z7" i="6"/>
  <c r="X7" i="6"/>
  <c r="Q27" i="5"/>
  <c r="T11" i="5"/>
  <c r="M22" i="5"/>
  <c r="N22" i="5"/>
  <c r="O22" i="5"/>
  <c r="M23" i="5"/>
  <c r="N23" i="5"/>
  <c r="O23" i="5"/>
  <c r="N21" i="5"/>
  <c r="O21" i="5"/>
  <c r="M21" i="5"/>
  <c r="E69" i="4"/>
  <c r="F69" i="4"/>
  <c r="G69" i="4"/>
  <c r="H69" i="4"/>
  <c r="I69" i="4"/>
  <c r="D69" i="4"/>
  <c r="D72" i="4" s="1"/>
  <c r="E66" i="4" s="1"/>
  <c r="E72" i="4" s="1"/>
  <c r="F66" i="4" s="1"/>
  <c r="E58" i="4"/>
  <c r="E61" i="4" s="1"/>
  <c r="E62" i="4"/>
  <c r="E41" i="4"/>
  <c r="G39" i="4"/>
  <c r="H39" i="4" s="1"/>
  <c r="I39" i="4" s="1"/>
  <c r="J39" i="4" s="1"/>
  <c r="F39" i="4"/>
  <c r="E37" i="4"/>
  <c r="J31" i="4"/>
  <c r="J29" i="4"/>
  <c r="J30" i="4"/>
  <c r="I31" i="4"/>
  <c r="I29" i="4"/>
  <c r="AO73" i="2"/>
  <c r="AP73" i="2"/>
  <c r="AQ73" i="2"/>
  <c r="AO74" i="2"/>
  <c r="AP74" i="2"/>
  <c r="AQ74" i="2"/>
  <c r="AP72" i="2"/>
  <c r="AQ72" i="2"/>
  <c r="AO72" i="2"/>
  <c r="AK76" i="2"/>
  <c r="AK75" i="2"/>
  <c r="AI73" i="2"/>
  <c r="AJ73" i="2"/>
  <c r="AK73" i="2"/>
  <c r="AI74" i="2"/>
  <c r="AJ74" i="2"/>
  <c r="AK74" i="2"/>
  <c r="AJ72" i="2"/>
  <c r="AK72" i="2"/>
  <c r="AI72" i="2"/>
  <c r="O28" i="3"/>
  <c r="O29" i="3"/>
  <c r="O27" i="3"/>
  <c r="N28" i="3"/>
  <c r="N29" i="3"/>
  <c r="N27" i="3"/>
  <c r="L29" i="3"/>
  <c r="L28" i="3"/>
  <c r="F28" i="3"/>
  <c r="F29" i="3"/>
  <c r="F27" i="3"/>
  <c r="E28" i="3"/>
  <c r="E29" i="3"/>
  <c r="E27" i="3"/>
  <c r="D29" i="3"/>
  <c r="D28" i="3"/>
  <c r="D27" i="3"/>
  <c r="Y76" i="2"/>
  <c r="AA74" i="2"/>
  <c r="AL55" i="2"/>
  <c r="AM55" i="2"/>
  <c r="AK55" i="2"/>
  <c r="AM54" i="2"/>
  <c r="AL54" i="2"/>
  <c r="AK54" i="2"/>
  <c r="AI53" i="2"/>
  <c r="AH53" i="2"/>
  <c r="AG53" i="2"/>
  <c r="AE53" i="2"/>
  <c r="AD53" i="2"/>
  <c r="AC53" i="2"/>
  <c r="Z53" i="2"/>
  <c r="AA53" i="2"/>
  <c r="Y53" i="2"/>
  <c r="AI52" i="2"/>
  <c r="AH52" i="2"/>
  <c r="AG52" i="2"/>
  <c r="AE52" i="2"/>
  <c r="AD52" i="2"/>
  <c r="AC52" i="2"/>
  <c r="Z52" i="2"/>
  <c r="AA52" i="2"/>
  <c r="Y52" i="2"/>
  <c r="AI50" i="2"/>
  <c r="AH50" i="2"/>
  <c r="AG50" i="2"/>
  <c r="AE50" i="2"/>
  <c r="AD50" i="2"/>
  <c r="AC50" i="2"/>
  <c r="Z50" i="2"/>
  <c r="AA50" i="2"/>
  <c r="Y50" i="2"/>
  <c r="AQ47" i="2"/>
  <c r="AM44" i="2"/>
  <c r="AL40" i="2"/>
  <c r="AM40" i="2"/>
  <c r="AK40" i="2"/>
  <c r="AK42" i="2" s="1"/>
  <c r="Z14" i="2"/>
  <c r="AA14" i="2"/>
  <c r="Y14" i="2"/>
  <c r="AM39" i="2"/>
  <c r="AL39" i="2"/>
  <c r="AK39" i="2"/>
  <c r="AM56" i="2" l="1"/>
  <c r="AQ59" i="2" s="1"/>
  <c r="G29" i="3"/>
  <c r="I29" i="3" s="1"/>
  <c r="J29" i="3" s="1"/>
  <c r="D35" i="3" s="1"/>
  <c r="G28" i="3"/>
  <c r="I28" i="3" s="1"/>
  <c r="J28" i="3" s="1"/>
  <c r="S28" i="3" s="1"/>
  <c r="G27" i="3"/>
  <c r="I27" i="3" s="1"/>
  <c r="J27" i="3" s="1"/>
  <c r="D33" i="3" s="1"/>
  <c r="P15" i="8"/>
  <c r="P13" i="8"/>
  <c r="H29" i="8"/>
  <c r="F29" i="8"/>
  <c r="G26" i="8"/>
  <c r="G29" i="8"/>
  <c r="H26" i="8"/>
  <c r="I29" i="8"/>
  <c r="E26" i="8"/>
  <c r="E31" i="8" s="1"/>
  <c r="F26" i="8"/>
  <c r="F41" i="4"/>
  <c r="G41" i="4" s="1"/>
  <c r="H41" i="4" s="1"/>
  <c r="I41" i="4" s="1"/>
  <c r="J41" i="4" s="1"/>
  <c r="P21" i="5"/>
  <c r="S21" i="5" s="1"/>
  <c r="P22" i="5"/>
  <c r="S22" i="5" s="1"/>
  <c r="P23" i="5"/>
  <c r="S23" i="5" s="1"/>
  <c r="F72" i="4"/>
  <c r="G66" i="4" s="1"/>
  <c r="G72" i="4" s="1"/>
  <c r="H66" i="4" s="1"/>
  <c r="H72" i="4" s="1"/>
  <c r="I66" i="4" s="1"/>
  <c r="I72" i="4" s="1"/>
  <c r="AL42" i="2"/>
  <c r="AL43" i="2" s="1"/>
  <c r="AK43" i="2"/>
  <c r="AM42" i="2"/>
  <c r="AM43" i="2" s="1"/>
  <c r="S29" i="3" l="1"/>
  <c r="W29" i="3" s="1"/>
  <c r="E35" i="3" s="1"/>
  <c r="F35" i="3" s="1"/>
  <c r="E40" i="3" s="1"/>
  <c r="D34" i="3"/>
  <c r="U28" i="3"/>
  <c r="W28" i="3" s="1"/>
  <c r="E34" i="3" s="1"/>
  <c r="F34" i="3" s="1"/>
  <c r="S27" i="3"/>
  <c r="W27" i="3" s="1"/>
  <c r="E33" i="3" s="1"/>
  <c r="F33" i="3" s="1"/>
  <c r="F40" i="3"/>
  <c r="D40" i="3"/>
  <c r="H31" i="8"/>
  <c r="I31" i="8"/>
  <c r="F31" i="8"/>
  <c r="G31" i="8"/>
  <c r="S24" i="5"/>
  <c r="Q26" i="5" s="1"/>
  <c r="AI41" i="2"/>
  <c r="AG41" i="2"/>
  <c r="AD41" i="2"/>
  <c r="AE41" i="2"/>
  <c r="AC41" i="2"/>
  <c r="AH40" i="2"/>
  <c r="AH41" i="2" s="1"/>
  <c r="AI40" i="2"/>
  <c r="AG40" i="2"/>
  <c r="AD40" i="2"/>
  <c r="AE40" i="2"/>
  <c r="AC40" i="2"/>
  <c r="AI38" i="2"/>
  <c r="AH38" i="2"/>
  <c r="AG38" i="2"/>
  <c r="AE38" i="2"/>
  <c r="AD38" i="2"/>
  <c r="AC38" i="2"/>
  <c r="Z38" i="2"/>
  <c r="Z40" i="2" s="1"/>
  <c r="AA38" i="2"/>
  <c r="Y38" i="2"/>
  <c r="AI36" i="2"/>
  <c r="AH36" i="2"/>
  <c r="AG36" i="2"/>
  <c r="AE36" i="2"/>
  <c r="AD36" i="2"/>
  <c r="AC36" i="2"/>
  <c r="Z36" i="2"/>
  <c r="AA36" i="2"/>
  <c r="Y36" i="2"/>
  <c r="AI35" i="2"/>
  <c r="AH35" i="2"/>
  <c r="AG35" i="2"/>
  <c r="AE35" i="2"/>
  <c r="AD35" i="2"/>
  <c r="AC35" i="2"/>
  <c r="Z35" i="2"/>
  <c r="AA35" i="2"/>
  <c r="Y35" i="2"/>
  <c r="AM32" i="2"/>
  <c r="AM28" i="2"/>
  <c r="AH28" i="2"/>
  <c r="F34" i="1"/>
  <c r="AK6" i="2"/>
  <c r="AM7" i="2" s="1"/>
  <c r="AI28" i="2"/>
  <c r="AG28" i="2"/>
  <c r="AE28" i="2"/>
  <c r="AD28" i="2"/>
  <c r="AC28" i="2"/>
  <c r="Z28" i="2"/>
  <c r="AA28" i="2"/>
  <c r="Y28" i="2"/>
  <c r="AI25" i="2"/>
  <c r="AH25" i="2"/>
  <c r="AG25" i="2"/>
  <c r="AE25" i="2"/>
  <c r="AD25" i="2"/>
  <c r="AC25" i="2"/>
  <c r="Z25" i="2"/>
  <c r="AA25" i="2"/>
  <c r="Y25" i="2"/>
  <c r="AI24" i="2"/>
  <c r="AH24" i="2"/>
  <c r="AG24" i="2"/>
  <c r="AE24" i="2"/>
  <c r="AD24" i="2"/>
  <c r="AC24" i="2"/>
  <c r="Z24" i="2"/>
  <c r="AA24" i="2"/>
  <c r="Y24" i="2"/>
  <c r="AI17" i="2"/>
  <c r="AI19" i="2" s="1"/>
  <c r="AI20" i="2" s="1"/>
  <c r="AI32" i="2" s="1"/>
  <c r="Y17" i="2"/>
  <c r="Y19" i="2" s="1"/>
  <c r="Y20" i="2" s="1"/>
  <c r="AI16" i="2"/>
  <c r="AH16" i="2"/>
  <c r="AH17" i="2" s="1"/>
  <c r="AH19" i="2" s="1"/>
  <c r="AH20" i="2" s="1"/>
  <c r="AG16" i="2"/>
  <c r="AG17" i="2" s="1"/>
  <c r="AG19" i="2" s="1"/>
  <c r="AG20" i="2" s="1"/>
  <c r="AG32" i="2" s="1"/>
  <c r="AE16" i="2"/>
  <c r="AE17" i="2" s="1"/>
  <c r="AE19" i="2" s="1"/>
  <c r="AE20" i="2" s="1"/>
  <c r="AE32" i="2" s="1"/>
  <c r="AD16" i="2"/>
  <c r="AD17" i="2" s="1"/>
  <c r="AD19" i="2" s="1"/>
  <c r="AD20" i="2" s="1"/>
  <c r="AD32" i="2" s="1"/>
  <c r="AC16" i="2"/>
  <c r="AC17" i="2" s="1"/>
  <c r="AC19" i="2" s="1"/>
  <c r="AC20" i="2" s="1"/>
  <c r="AC32" i="2" s="1"/>
  <c r="Z16" i="2"/>
  <c r="Z17" i="2" s="1"/>
  <c r="Z19" i="2" s="1"/>
  <c r="Z20" i="2" s="1"/>
  <c r="AA16" i="2"/>
  <c r="AA17" i="2" s="1"/>
  <c r="AA19" i="2" s="1"/>
  <c r="AA20" i="2" s="1"/>
  <c r="Y16" i="2"/>
  <c r="W30" i="3" l="1"/>
  <c r="E39" i="3"/>
  <c r="D39" i="3"/>
  <c r="F39" i="3"/>
  <c r="F38" i="3"/>
  <c r="D38" i="3"/>
  <c r="E38" i="3"/>
  <c r="AA32" i="2"/>
  <c r="AA40" i="2"/>
  <c r="AA41" i="2" s="1"/>
  <c r="Z41" i="2"/>
  <c r="Z32" i="2"/>
  <c r="Y32" i="2"/>
  <c r="Y40" i="2"/>
  <c r="Y41" i="2" s="1"/>
  <c r="AH32" i="2"/>
  <c r="AD14" i="2"/>
  <c r="AI14" i="2"/>
  <c r="AH14" i="2"/>
  <c r="AG14" i="2"/>
  <c r="AE14" i="2"/>
  <c r="AC14" i="2"/>
  <c r="AI8" i="2"/>
  <c r="AI9" i="2" s="1"/>
  <c r="AI44" i="2" s="1"/>
  <c r="AH8" i="2"/>
  <c r="AH9" i="2" s="1"/>
  <c r="AH44" i="2" s="1"/>
  <c r="AG8" i="2"/>
  <c r="AG9" i="2" s="1"/>
  <c r="AG44" i="2" s="1"/>
  <c r="AE8" i="2"/>
  <c r="AE9" i="2" s="1"/>
  <c r="AE44" i="2" s="1"/>
  <c r="AD8" i="2"/>
  <c r="AD9" i="2" s="1"/>
  <c r="AD44" i="2" s="1"/>
  <c r="AC8" i="2"/>
  <c r="AC9" i="2" s="1"/>
  <c r="AC44" i="2" s="1"/>
  <c r="Z8" i="2"/>
  <c r="Z9" i="2" s="1"/>
  <c r="AA8" i="2"/>
  <c r="AA9" i="2" s="1"/>
  <c r="Y8" i="2"/>
  <c r="Y9" i="2" s="1"/>
  <c r="L26" i="1"/>
  <c r="M26" i="1"/>
  <c r="K26" i="1"/>
  <c r="E24" i="1"/>
  <c r="F24" i="1"/>
  <c r="E25" i="1"/>
  <c r="F25" i="1"/>
  <c r="E26" i="1"/>
  <c r="F26" i="1"/>
  <c r="D25" i="1"/>
  <c r="D26" i="1"/>
  <c r="D24" i="1"/>
  <c r="Z44" i="2" l="1"/>
  <c r="Z66" i="2" s="1"/>
  <c r="Z80" i="2" s="1"/>
  <c r="Y44" i="2"/>
  <c r="Y64" i="2" s="1"/>
  <c r="Y78" i="2" s="1"/>
  <c r="AA44" i="2"/>
  <c r="AA66" i="2" s="1"/>
  <c r="AA80" i="2" s="1"/>
  <c r="Z64" i="2"/>
  <c r="Z78" i="2" s="1"/>
  <c r="AG65" i="2"/>
  <c r="AG79" i="2" s="1"/>
  <c r="AG64" i="2"/>
  <c r="AG78" i="2" s="1"/>
  <c r="AG66" i="2"/>
  <c r="AG80" i="2" s="1"/>
  <c r="AC66" i="2"/>
  <c r="AC80" i="2" s="1"/>
  <c r="AC65" i="2"/>
  <c r="AC79" i="2" s="1"/>
  <c r="AC64" i="2"/>
  <c r="AC78" i="2" s="1"/>
  <c r="AH66" i="2"/>
  <c r="AH80" i="2" s="1"/>
  <c r="AH65" i="2"/>
  <c r="AH79" i="2" s="1"/>
  <c r="AH64" i="2"/>
  <c r="AH78" i="2" s="1"/>
  <c r="AD65" i="2"/>
  <c r="AD79" i="2" s="1"/>
  <c r="AD66" i="2"/>
  <c r="AD80" i="2" s="1"/>
  <c r="AD64" i="2"/>
  <c r="AD78" i="2" s="1"/>
  <c r="AI65" i="2"/>
  <c r="AI79" i="2" s="1"/>
  <c r="AI66" i="2"/>
  <c r="AI80" i="2" s="1"/>
  <c r="AI64" i="2"/>
  <c r="AI78" i="2" s="1"/>
  <c r="AA64" i="2"/>
  <c r="AA78" i="2" s="1"/>
  <c r="AE64" i="2"/>
  <c r="AE78" i="2" s="1"/>
  <c r="AE66" i="2"/>
  <c r="AE80" i="2" s="1"/>
  <c r="AE65" i="2"/>
  <c r="AE79" i="2" s="1"/>
  <c r="M27" i="1"/>
  <c r="F27" i="1"/>
  <c r="Z65" i="2" l="1"/>
  <c r="Z79" i="2" s="1"/>
  <c r="Y65" i="2"/>
  <c r="Y79" i="2" s="1"/>
  <c r="AA65" i="2"/>
  <c r="AA79" i="2" s="1"/>
  <c r="Y66" i="2"/>
  <c r="Y80" i="2" s="1"/>
  <c r="F29" i="1"/>
  <c r="F32" i="1" s="1"/>
</calcChain>
</file>

<file path=xl/sharedStrings.xml><?xml version="1.0" encoding="utf-8"?>
<sst xmlns="http://schemas.openxmlformats.org/spreadsheetml/2006/main" count="520" uniqueCount="347">
  <si>
    <t>Sales Revenue:</t>
  </si>
  <si>
    <t>1. Revenue from Sold To Quantities in the Quarter</t>
  </si>
  <si>
    <t>2. Revenue from Scrap Sold</t>
  </si>
  <si>
    <t>3. Revenue from Product sold at Valuation Price after introducing a Major Improvement</t>
  </si>
  <si>
    <t>Revenue has 3 Parts:</t>
  </si>
  <si>
    <t>Prices (€):</t>
  </si>
  <si>
    <t>Product 1</t>
  </si>
  <si>
    <t>Product 2</t>
  </si>
  <si>
    <t>Product 3</t>
  </si>
  <si>
    <t>Europe</t>
  </si>
  <si>
    <t>NAFTA</t>
  </si>
  <si>
    <t>Internet</t>
  </si>
  <si>
    <t>Sold To:</t>
  </si>
  <si>
    <t>Scrap:</t>
  </si>
  <si>
    <t>Qty</t>
  </si>
  <si>
    <t>Price</t>
  </si>
  <si>
    <t>Revenue</t>
  </si>
  <si>
    <t>Revenue (€):</t>
  </si>
  <si>
    <t>Total Revenue:</t>
  </si>
  <si>
    <t>Actual Reported:</t>
  </si>
  <si>
    <t>Difference:</t>
  </si>
  <si>
    <t>Product 2 Warehouse (Opening):</t>
  </si>
  <si>
    <t>Valuation Price of Product 2:</t>
  </si>
  <si>
    <t>INCOME STATEMENT</t>
  </si>
  <si>
    <t>€</t>
  </si>
  <si>
    <t>Sales revenue</t>
  </si>
  <si>
    <t>Cost of sales</t>
  </si>
  <si>
    <t>Gross profit</t>
  </si>
  <si>
    <t xml:space="preserve">  Administrative expenses</t>
  </si>
  <si>
    <t xml:space="preserve">  Insurance receipts</t>
  </si>
  <si>
    <t xml:space="preserve">  Depreciation</t>
  </si>
  <si>
    <t>Operating profit/loss</t>
  </si>
  <si>
    <t xml:space="preserve">  Finance income</t>
  </si>
  <si>
    <t xml:space="preserve">  Finance expense</t>
  </si>
  <si>
    <t>Profit/loss before tax</t>
  </si>
  <si>
    <t xml:space="preserve">  Tax assessed</t>
  </si>
  <si>
    <t>Profit/loss for the period</t>
  </si>
  <si>
    <t>Earnings per share (cents)</t>
  </si>
  <si>
    <t>Dividends paid</t>
  </si>
  <si>
    <t>Transferred to retained earnings</t>
  </si>
  <si>
    <t>Previous retained earnings</t>
  </si>
  <si>
    <t>Retained earnings</t>
  </si>
  <si>
    <t>Opening inventory values</t>
  </si>
  <si>
    <t>Components purchased</t>
  </si>
  <si>
    <t>Materials purchased</t>
  </si>
  <si>
    <t>Machine running costs</t>
  </si>
  <si>
    <t>Machinists wages</t>
  </si>
  <si>
    <t>Assembly wages</t>
  </si>
  <si>
    <t>Quality control</t>
  </si>
  <si>
    <t>Hired transport</t>
  </si>
  <si>
    <t>Less closing inventory values</t>
  </si>
  <si>
    <t>Raw Material Cost</t>
  </si>
  <si>
    <t>Machining Cost</t>
  </si>
  <si>
    <t>Assembly cost</t>
  </si>
  <si>
    <t>Other Costs</t>
  </si>
  <si>
    <t>Accounting Adjustment</t>
  </si>
  <si>
    <t>Cost of Sub Contracting</t>
  </si>
  <si>
    <t>Cost of Production at Factory</t>
  </si>
  <si>
    <t>Cost of Sales</t>
  </si>
  <si>
    <t>Shift 1</t>
  </si>
  <si>
    <t>Shift 2</t>
  </si>
  <si>
    <t>Shift 3</t>
  </si>
  <si>
    <t>Units</t>
  </si>
  <si>
    <t>Spot Price (USD) for 1000 Materials</t>
  </si>
  <si>
    <t>Exchange Rate</t>
  </si>
  <si>
    <t>Spot Price (EUR) for 1 Material</t>
  </si>
  <si>
    <t>Cost of Raw Material</t>
  </si>
  <si>
    <t>1. Raw Materials:</t>
  </si>
  <si>
    <t>2. Machine Running Costs:</t>
  </si>
  <si>
    <t>Machines Available</t>
  </si>
  <si>
    <t>Machine Time in mins</t>
  </si>
  <si>
    <t>Cost of Supervision per Shift</t>
  </si>
  <si>
    <t>No. of Machines</t>
  </si>
  <si>
    <t>Cost of Supervision per Machine</t>
  </si>
  <si>
    <t>Total Machine Hours</t>
  </si>
  <si>
    <t>Cost of Supervision per Machine per Hour</t>
  </si>
  <si>
    <t>Cost of Supervision per Product</t>
  </si>
  <si>
    <t>Machine Time in Hours</t>
  </si>
  <si>
    <t>Production Overheads per Machine</t>
  </si>
  <si>
    <t>Production Overheads per Machine per Hour</t>
  </si>
  <si>
    <t>Production Overheads per Product</t>
  </si>
  <si>
    <t>Machine Running Cost per Hour</t>
  </si>
  <si>
    <t>Machine Running Cost per Product</t>
  </si>
  <si>
    <t>Planning Cost per Unit</t>
  </si>
  <si>
    <t>Total Machine Running Cost</t>
  </si>
  <si>
    <t>Raw Materials</t>
  </si>
  <si>
    <t>Spot</t>
  </si>
  <si>
    <t>3 Month</t>
  </si>
  <si>
    <t>6 Month</t>
  </si>
  <si>
    <t>Production Overheads:</t>
  </si>
  <si>
    <t>Machine Running Cost:</t>
  </si>
  <si>
    <t>Planning Cost:</t>
  </si>
  <si>
    <t>Cost of Supervision:</t>
  </si>
  <si>
    <t>Total Machine Running Cost:</t>
  </si>
  <si>
    <t>3. Machinist Wages (Mon-Fri):</t>
  </si>
  <si>
    <t>Assembly Wages</t>
  </si>
  <si>
    <t>No. of Machinists to run Machine per Hour</t>
  </si>
  <si>
    <t>Machinists Wages</t>
  </si>
  <si>
    <t>Shift Premium</t>
  </si>
  <si>
    <t>Premium Value</t>
  </si>
  <si>
    <t>Total Wages per Product</t>
  </si>
  <si>
    <t>Machine Hours Worked:</t>
  </si>
  <si>
    <t>Total Machine Hours:</t>
  </si>
  <si>
    <t>Mon-Fri</t>
  </si>
  <si>
    <t>Sat</t>
  </si>
  <si>
    <t>Sun</t>
  </si>
  <si>
    <t>Machine Efficiency (%)</t>
  </si>
  <si>
    <t>No. of Machinists</t>
  </si>
  <si>
    <t>Weekly Machinist Wages:</t>
  </si>
  <si>
    <t>Total Cost till Machining:</t>
  </si>
  <si>
    <t>Cost of Subcontracting:</t>
  </si>
  <si>
    <t>4. Assembly Wages (Mon-Fri):</t>
  </si>
  <si>
    <t>Assembly Minutes</t>
  </si>
  <si>
    <t>Assembly Time in Hours</t>
  </si>
  <si>
    <t>5. Quality Control per Unit:</t>
  </si>
  <si>
    <t>Total Assembly Hours:</t>
  </si>
  <si>
    <t>No. of Assembly Workers:</t>
  </si>
  <si>
    <t>Weekly Skilled Wages:</t>
  </si>
  <si>
    <t>6. Logistics Cost:</t>
  </si>
  <si>
    <t>Total Cost of Sales:</t>
  </si>
  <si>
    <t>Administrative Expenses:</t>
  </si>
  <si>
    <t>Quantities to Deliver</t>
  </si>
  <si>
    <t>NAFTA:</t>
  </si>
  <si>
    <t>Internet:</t>
  </si>
  <si>
    <t>Europe:</t>
  </si>
  <si>
    <t>Factory</t>
  </si>
  <si>
    <t>Agents</t>
  </si>
  <si>
    <t>Ports</t>
  </si>
  <si>
    <t>Distributors</t>
  </si>
  <si>
    <t xml:space="preserve">  ---------------</t>
  </si>
  <si>
    <t xml:space="preserve">  ------------</t>
  </si>
  <si>
    <t>Logistics Involved:</t>
  </si>
  <si>
    <t>Distance Unknown (More Agents --&gt; More Journey Length)</t>
  </si>
  <si>
    <t>250 km X 2 + Container Shipment Cost</t>
  </si>
  <si>
    <t>150 km X 2</t>
  </si>
  <si>
    <t>Container Capacity:</t>
  </si>
  <si>
    <t>500 Space Units</t>
  </si>
  <si>
    <t>1 Space Unit</t>
  </si>
  <si>
    <t>2 Space Units</t>
  </si>
  <si>
    <t>4 Space Units</t>
  </si>
  <si>
    <t>Quantities to Deliver:</t>
  </si>
  <si>
    <t>Space Required</t>
  </si>
  <si>
    <t>Containers Required</t>
  </si>
  <si>
    <t>Journey Length</t>
  </si>
  <si>
    <t>Journey Days</t>
  </si>
  <si>
    <t>Daily Cost</t>
  </si>
  <si>
    <t>Total Cost</t>
  </si>
  <si>
    <t>Cost of Shipment</t>
  </si>
  <si>
    <t>Cost/Space</t>
  </si>
  <si>
    <t>Total Space</t>
  </si>
  <si>
    <t>Cost / Product</t>
  </si>
  <si>
    <t>Cost / Space</t>
  </si>
  <si>
    <t xml:space="preserve">Prices (€) </t>
  </si>
  <si>
    <t>Average Cost Per Unit:</t>
  </si>
  <si>
    <t>Cost per Product (€):</t>
  </si>
  <si>
    <t>Investment Performance =</t>
  </si>
  <si>
    <t>Market Valuation - Value of Shares Issued + Value of Shares Repurchased + Dividends</t>
  </si>
  <si>
    <r>
      <rPr>
        <b/>
        <sz val="11"/>
        <color rgb="FFFF0000"/>
        <rFont val="Calibri"/>
        <family val="2"/>
        <scheme val="minor"/>
      </rPr>
      <t>(</t>
    </r>
    <r>
      <rPr>
        <b/>
        <sz val="11"/>
        <color rgb="FF00CC00"/>
        <rFont val="Calibri"/>
        <family val="2"/>
        <scheme val="minor"/>
      </rPr>
      <t>Share Price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 Share Capital) - Value of Shares Issued + Value of Shares Repurchased +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CC00"/>
        <rFont val="Calibri"/>
        <family val="2"/>
        <scheme val="minor"/>
      </rPr>
      <t>Dividends</t>
    </r>
  </si>
  <si>
    <t>Share Premium Account</t>
  </si>
  <si>
    <t>Retained Earnings</t>
  </si>
  <si>
    <t>Net Worth: Depends on 2 Variables -</t>
  </si>
  <si>
    <t>FY 2016</t>
  </si>
  <si>
    <t>FY 2017</t>
  </si>
  <si>
    <t>Highest Share Capital</t>
  </si>
  <si>
    <t>Share Capital</t>
  </si>
  <si>
    <t>Lowest Share Capital</t>
  </si>
  <si>
    <t>Issue / Repurchase</t>
  </si>
  <si>
    <t>Share Price</t>
  </si>
  <si>
    <t>Value of Issue / Repurchase</t>
  </si>
  <si>
    <t>Share Premium</t>
  </si>
  <si>
    <t>16Q1</t>
  </si>
  <si>
    <t>16Q2</t>
  </si>
  <si>
    <t>16Q3</t>
  </si>
  <si>
    <t>16Q4</t>
  </si>
  <si>
    <t>17Q1</t>
  </si>
  <si>
    <t>17Q2</t>
  </si>
  <si>
    <t>Share Capital (€):</t>
  </si>
  <si>
    <t>Face Value of each Share (€):</t>
  </si>
  <si>
    <t>No. of Share:</t>
  </si>
  <si>
    <t>Dividend Calculation:</t>
  </si>
  <si>
    <t>1% (1 cent per share)</t>
  </si>
  <si>
    <t>2% (2 cents per share)</t>
  </si>
  <si>
    <t>Prev. Tretained Earning</t>
  </si>
  <si>
    <t>Dividend %</t>
  </si>
  <si>
    <t>Dividend Amount</t>
  </si>
  <si>
    <t>Profit</t>
  </si>
  <si>
    <t>Quarter Retained Earnings</t>
  </si>
  <si>
    <t>Nafta</t>
  </si>
  <si>
    <t>Prices:</t>
  </si>
  <si>
    <t>Receipt:</t>
  </si>
  <si>
    <t>Total Receipts Next Qrt:</t>
  </si>
  <si>
    <t>Trade Receivables Next Qrt:</t>
  </si>
  <si>
    <t>BALANCE SHEET</t>
  </si>
  <si>
    <t>CASH FLOW STATEMENT</t>
  </si>
  <si>
    <t>Non-current assets:</t>
  </si>
  <si>
    <t>Operating activities:</t>
  </si>
  <si>
    <t xml:space="preserve">  Land</t>
  </si>
  <si>
    <t xml:space="preserve">  Trading receipts</t>
  </si>
  <si>
    <t xml:space="preserve">  Buildings</t>
  </si>
  <si>
    <t xml:space="preserve">  Machinery</t>
  </si>
  <si>
    <t xml:space="preserve">  Trading payments</t>
  </si>
  <si>
    <t>Property, plant and equipment</t>
  </si>
  <si>
    <t xml:space="preserve">  Tax paid</t>
  </si>
  <si>
    <t>Net cash flow from operations</t>
  </si>
  <si>
    <t>Current assets:</t>
  </si>
  <si>
    <t xml:space="preserve">  Product inventories</t>
  </si>
  <si>
    <t>Investing activities:</t>
  </si>
  <si>
    <t xml:space="preserve">  Component inventories</t>
  </si>
  <si>
    <t xml:space="preserve">  Interest received</t>
  </si>
  <si>
    <t xml:space="preserve">  Materials inventory</t>
  </si>
  <si>
    <t xml:space="preserve">  Asset sales</t>
  </si>
  <si>
    <t xml:space="preserve">  Trade receivables </t>
  </si>
  <si>
    <t xml:space="preserve">  Assets purchased</t>
  </si>
  <si>
    <t xml:space="preserve">  Cash and cash equivalents</t>
  </si>
  <si>
    <t>Net cash flow from investing</t>
  </si>
  <si>
    <t>Current assets</t>
  </si>
  <si>
    <t>Total assets</t>
  </si>
  <si>
    <t>Financing activities:</t>
  </si>
  <si>
    <t xml:space="preserve">  Shares issued</t>
  </si>
  <si>
    <t>Liabilities:</t>
  </si>
  <si>
    <t xml:space="preserve">  Shares repurchased</t>
  </si>
  <si>
    <t xml:space="preserve">  Tax due</t>
  </si>
  <si>
    <t xml:space="preserve">  Dividends paid</t>
  </si>
  <si>
    <t xml:space="preserve">  Trade payables</t>
  </si>
  <si>
    <t xml:space="preserve">  Additional loans</t>
  </si>
  <si>
    <t xml:space="preserve">  Bank overdraft</t>
  </si>
  <si>
    <t xml:space="preserve">  Interest paid</t>
  </si>
  <si>
    <t>Current liabilities</t>
  </si>
  <si>
    <t>Net cash flow from financing</t>
  </si>
  <si>
    <t>Term loans</t>
  </si>
  <si>
    <t>Trade Receivables Last Qrt:</t>
  </si>
  <si>
    <t>0verheads</t>
  </si>
  <si>
    <t>Materials and Components</t>
  </si>
  <si>
    <t>Transport</t>
  </si>
  <si>
    <t>Interest</t>
  </si>
  <si>
    <t>Advertising</t>
  </si>
  <si>
    <t>Internet service provider</t>
  </si>
  <si>
    <t>Agents and distributors</t>
  </si>
  <si>
    <t>Guarantee servicing</t>
  </si>
  <si>
    <t>Web-site development</t>
  </si>
  <si>
    <t>Personnel Costs</t>
  </si>
  <si>
    <t>Machine maintenance</t>
  </si>
  <si>
    <t xml:space="preserve">Purchasing and warehousing </t>
  </si>
  <si>
    <t>Business intelligence</t>
  </si>
  <si>
    <t>Insurance premiums</t>
  </si>
  <si>
    <t>Trade Payables Last Qrt:</t>
  </si>
  <si>
    <t>Next Quarter</t>
  </si>
  <si>
    <t>Quarter after Next</t>
  </si>
  <si>
    <t>Trade Payable Next Qrt:</t>
  </si>
  <si>
    <t>Trade Payments Next Qrt:</t>
  </si>
  <si>
    <t>Closing Stocks</t>
  </si>
  <si>
    <t>Raw Materials:</t>
  </si>
  <si>
    <t>Components:</t>
  </si>
  <si>
    <t>Product:</t>
  </si>
  <si>
    <t>Shift Level:</t>
  </si>
  <si>
    <t>Assembly Time:</t>
  </si>
  <si>
    <t>6-month Price ($):</t>
  </si>
  <si>
    <t>Exchange Rate:</t>
  </si>
  <si>
    <t>Component Cost:</t>
  </si>
  <si>
    <t>Premium Material:</t>
  </si>
  <si>
    <t>Product Inventories</t>
  </si>
  <si>
    <t>Component Inventories</t>
  </si>
  <si>
    <t>Materials Inventory</t>
  </si>
  <si>
    <t>material Inventory</t>
  </si>
  <si>
    <t>Components Inventory</t>
  </si>
  <si>
    <t>Component Cost</t>
  </si>
  <si>
    <t>Value</t>
  </si>
  <si>
    <t>Product Inventory:</t>
  </si>
  <si>
    <t>Raw Material:</t>
  </si>
  <si>
    <t>Raw Material Value:</t>
  </si>
  <si>
    <t>Machinist Wages:</t>
  </si>
  <si>
    <t>Assembly Wages:</t>
  </si>
  <si>
    <t>Machining</t>
  </si>
  <si>
    <t>Assembly</t>
  </si>
  <si>
    <t>Equity:</t>
  </si>
  <si>
    <t xml:space="preserve">  Share capital</t>
  </si>
  <si>
    <t xml:space="preserve">  Share premium account</t>
  </si>
  <si>
    <t xml:space="preserve">  Retained earnings </t>
  </si>
  <si>
    <t>Total equity</t>
  </si>
  <si>
    <t>FREE INFORMATION</t>
  </si>
  <si>
    <t>Company</t>
  </si>
  <si>
    <t>Stock market data:</t>
  </si>
  <si>
    <t xml:space="preserve">  Share price (cents)</t>
  </si>
  <si>
    <t xml:space="preserve">  Market valuation (€)</t>
  </si>
  <si>
    <t xml:space="preserve">  Dividend paid (cents/share)</t>
  </si>
  <si>
    <t xml:space="preserve">  Investment performance (€)</t>
  </si>
  <si>
    <t>Investment Performance:</t>
  </si>
  <si>
    <r>
      <t xml:space="preserve">(Share Price </t>
    </r>
    <r>
      <rPr>
        <sz val="11"/>
        <color theme="1"/>
        <rFont val="Calibri"/>
        <family val="2"/>
        <scheme val="minor"/>
      </rPr>
      <t>X Share Capital) - Value of Shares Issued + Value of Shares Repurchased +</t>
    </r>
    <r>
      <rPr>
        <b/>
        <sz val="11"/>
        <color theme="1"/>
        <rFont val="Calibri"/>
        <family val="2"/>
        <scheme val="minor"/>
      </rPr>
      <t xml:space="preserve"> Dividends</t>
    </r>
  </si>
  <si>
    <t>Value of Shares Issue / Repurchase</t>
  </si>
  <si>
    <t>Market Valuation</t>
  </si>
  <si>
    <t>Dividend Paid</t>
  </si>
  <si>
    <t>Investment Performance</t>
  </si>
  <si>
    <t xml:space="preserve"> PLEASE CHECK …</t>
  </si>
  <si>
    <t xml:space="preserve"> </t>
  </si>
  <si>
    <t xml:space="preserve">Year </t>
  </si>
  <si>
    <t>Qtr</t>
  </si>
  <si>
    <t>Corporate</t>
  </si>
  <si>
    <t>Number</t>
  </si>
  <si>
    <t>Support</t>
  </si>
  <si>
    <t>Commn.</t>
  </si>
  <si>
    <t>Advertising: (€'000)</t>
  </si>
  <si>
    <t>Agents and distributors:</t>
  </si>
  <si>
    <t>needed</t>
  </si>
  <si>
    <t xml:space="preserve"> (€'000)</t>
  </si>
  <si>
    <t>%</t>
  </si>
  <si>
    <t>European agents</t>
  </si>
  <si>
    <t>Nafta distributors</t>
  </si>
  <si>
    <t>Internet distributor</t>
  </si>
  <si>
    <t>Operations:</t>
  </si>
  <si>
    <t>Materials to buy ('000)</t>
  </si>
  <si>
    <t>3mth</t>
  </si>
  <si>
    <t>6mth</t>
  </si>
  <si>
    <t>Maintenance hours/machine</t>
  </si>
  <si>
    <t>Shift level</t>
  </si>
  <si>
    <t>Number of ports operated</t>
  </si>
  <si>
    <t>Quantities to deliver to:</t>
  </si>
  <si>
    <t>Personnel:</t>
  </si>
  <si>
    <t>Assembly workers to recruit</t>
  </si>
  <si>
    <t>Number to train</t>
  </si>
  <si>
    <t>(Not in full</t>
  </si>
  <si>
    <t>Hourly wage rate (€.c)</t>
  </si>
  <si>
    <t xml:space="preserve"> if starred)</t>
  </si>
  <si>
    <t>Management budget (€'000)</t>
  </si>
  <si>
    <t>Staff training (days)</t>
  </si>
  <si>
    <t>Quality:</t>
  </si>
  <si>
    <t>Finance:</t>
  </si>
  <si>
    <t>Take up product improvements</t>
  </si>
  <si>
    <t>Shares to issue/repurchase</t>
  </si>
  <si>
    <t>Dividend (cents/share)</t>
  </si>
  <si>
    <t>Product development (€'000)</t>
  </si>
  <si>
    <t>Term loans (€'000)</t>
  </si>
  <si>
    <t>Term deposit (€'000)</t>
  </si>
  <si>
    <t>Assembly times (minutes)</t>
  </si>
  <si>
    <t>Machines to buy</t>
  </si>
  <si>
    <t>Machines to sell</t>
  </si>
  <si>
    <t>Premium materials (%)</t>
  </si>
  <si>
    <t>Factory extension (sq. m.)</t>
  </si>
  <si>
    <t>Insurance plan</t>
  </si>
  <si>
    <t>Subcontracting:</t>
  </si>
  <si>
    <t>Information:</t>
  </si>
  <si>
    <t>Components to order (units)</t>
  </si>
  <si>
    <t>Market shares</t>
  </si>
  <si>
    <t>Corporate activity</t>
  </si>
  <si>
    <t xml:space="preserve">      Your Decisions</t>
  </si>
  <si>
    <t xml:space="preserve">Exchange Rate </t>
  </si>
  <si>
    <t>Next Qtr</t>
  </si>
  <si>
    <t>€ per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</si>
</sst>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;\-0;;@"/>
    <numFmt numFmtId="166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CC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color indexed="21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b/>
      <sz val="11"/>
      <color rgb="FF008080"/>
      <name val="Arial"/>
      <family val="2"/>
    </font>
    <font>
      <b/>
      <sz val="9"/>
      <color indexed="2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1" fillId="8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0" xfId="0" applyFont="1"/>
    <xf numFmtId="1" fontId="0" fillId="0" borderId="1" xfId="0" applyNumberFormat="1" applyBorder="1"/>
    <xf numFmtId="1" fontId="5" fillId="0" borderId="0" xfId="0" applyNumberFormat="1" applyFont="1"/>
    <xf numFmtId="0" fontId="5" fillId="0" borderId="0" xfId="0" applyFont="1" applyAlignment="1">
      <alignment horizontal="center"/>
    </xf>
    <xf numFmtId="9" fontId="2" fillId="0" borderId="1" xfId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164" fontId="2" fillId="0" borderId="1" xfId="0" applyNumberFormat="1" applyFont="1" applyBorder="1"/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0" xfId="0" applyNumberFormat="1"/>
    <xf numFmtId="1" fontId="2" fillId="0" borderId="0" xfId="0" applyNumberFormat="1" applyFont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0" fontId="0" fillId="0" borderId="3" xfId="0" applyBorder="1"/>
    <xf numFmtId="2" fontId="0" fillId="0" borderId="3" xfId="0" applyNumberFormat="1" applyBorder="1"/>
    <xf numFmtId="0" fontId="2" fillId="0" borderId="3" xfId="0" applyFont="1" applyBorder="1"/>
    <xf numFmtId="2" fontId="5" fillId="0" borderId="3" xfId="0" applyNumberFormat="1" applyFont="1" applyBorder="1"/>
    <xf numFmtId="9" fontId="0" fillId="0" borderId="1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15" xfId="0" applyFont="1" applyBorder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23" xfId="0" applyFont="1" applyBorder="1" applyAlignment="1">
      <alignment horizontal="right"/>
    </xf>
    <xf numFmtId="165" fontId="8" fillId="0" borderId="0" xfId="0" applyNumberFormat="1" applyFont="1" applyAlignment="1">
      <alignment horizontal="left"/>
    </xf>
    <xf numFmtId="165" fontId="8" fillId="0" borderId="0" xfId="0" applyNumberFormat="1" applyFont="1"/>
    <xf numFmtId="165" fontId="8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righ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2" fillId="0" borderId="35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36" xfId="0" applyBorder="1"/>
    <xf numFmtId="0" fontId="11" fillId="0" borderId="35" xfId="0" applyFont="1" applyBorder="1"/>
    <xf numFmtId="0" fontId="11" fillId="0" borderId="0" xfId="0" applyFont="1"/>
    <xf numFmtId="0" fontId="1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36" xfId="0" applyFont="1" applyBorder="1"/>
    <xf numFmtId="0" fontId="11" fillId="0" borderId="37" xfId="0" applyFont="1" applyBorder="1" applyAlignment="1">
      <alignment horizontal="left"/>
    </xf>
    <xf numFmtId="0" fontId="11" fillId="0" borderId="38" xfId="0" applyFont="1" applyBorder="1" applyAlignment="1">
      <alignment horizontal="left"/>
    </xf>
    <xf numFmtId="0" fontId="11" fillId="0" borderId="38" xfId="0" applyFont="1" applyBorder="1"/>
    <xf numFmtId="0" fontId="11" fillId="0" borderId="39" xfId="0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35" xfId="0" applyFont="1" applyBorder="1"/>
    <xf numFmtId="0" fontId="8" fillId="0" borderId="24" xfId="0" applyFont="1" applyBorder="1" applyAlignment="1">
      <alignment horizontal="center"/>
    </xf>
    <xf numFmtId="0" fontId="8" fillId="0" borderId="40" xfId="0" applyFont="1" applyBorder="1" applyAlignment="1">
      <alignment horizontal="right"/>
    </xf>
    <xf numFmtId="0" fontId="8" fillId="0" borderId="41" xfId="0" applyFont="1" applyBorder="1" applyAlignment="1">
      <alignment horizontal="right"/>
    </xf>
    <xf numFmtId="0" fontId="8" fillId="0" borderId="42" xfId="0" applyFont="1" applyBorder="1" applyAlignment="1">
      <alignment horizontal="right"/>
    </xf>
    <xf numFmtId="0" fontId="8" fillId="0" borderId="26" xfId="0" applyFont="1" applyBorder="1" applyAlignment="1">
      <alignment horizontal="left"/>
    </xf>
    <xf numFmtId="0" fontId="8" fillId="0" borderId="26" xfId="0" applyFont="1" applyBorder="1"/>
    <xf numFmtId="0" fontId="4" fillId="0" borderId="35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27" xfId="0" applyFont="1" applyBorder="1" applyAlignment="1">
      <alignment horizontal="left"/>
    </xf>
    <xf numFmtId="0" fontId="8" fillId="0" borderId="27" xfId="0" applyFont="1" applyBorder="1" applyAlignment="1">
      <alignment horizontal="right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right"/>
    </xf>
    <xf numFmtId="0" fontId="8" fillId="0" borderId="34" xfId="0" applyFont="1" applyBorder="1" applyAlignment="1">
      <alignment horizontal="right"/>
    </xf>
    <xf numFmtId="0" fontId="8" fillId="0" borderId="28" xfId="0" applyFont="1" applyBorder="1" applyAlignment="1">
      <alignment horizontal="right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1" fontId="8" fillId="0" borderId="31" xfId="0" applyNumberFormat="1" applyFont="1" applyBorder="1" applyAlignment="1">
      <alignment horizontal="right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right"/>
    </xf>
    <xf numFmtId="0" fontId="8" fillId="0" borderId="39" xfId="0" applyFont="1" applyBorder="1" applyAlignment="1">
      <alignment horizontal="right"/>
    </xf>
    <xf numFmtId="1" fontId="8" fillId="0" borderId="29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0" fontId="8" fillId="0" borderId="32" xfId="0" applyFont="1" applyBorder="1" applyAlignment="1">
      <alignment horizontal="right"/>
    </xf>
    <xf numFmtId="0" fontId="8" fillId="0" borderId="30" xfId="0" applyFont="1" applyBorder="1" applyAlignment="1">
      <alignment horizontal="right"/>
    </xf>
    <xf numFmtId="0" fontId="8" fillId="0" borderId="25" xfId="0" applyFont="1" applyBorder="1"/>
    <xf numFmtId="0" fontId="8" fillId="0" borderId="35" xfId="0" applyFont="1" applyBorder="1" applyAlignment="1">
      <alignment horizontal="right"/>
    </xf>
    <xf numFmtId="0" fontId="8" fillId="0" borderId="37" xfId="0" applyFont="1" applyBorder="1" applyAlignment="1">
      <alignment horizontal="right"/>
    </xf>
    <xf numFmtId="0" fontId="8" fillId="0" borderId="26" xfId="0" applyFont="1" applyBorder="1" applyAlignment="1">
      <alignment horizontal="right"/>
    </xf>
    <xf numFmtId="0" fontId="8" fillId="0" borderId="25" xfId="0" applyFont="1" applyBorder="1" applyAlignment="1">
      <alignment horizontal="right"/>
    </xf>
    <xf numFmtId="2" fontId="8" fillId="0" borderId="31" xfId="0" applyNumberFormat="1" applyFont="1" applyBorder="1" applyAlignment="1">
      <alignment horizontal="right"/>
    </xf>
    <xf numFmtId="0" fontId="4" fillId="0" borderId="35" xfId="0" applyFont="1" applyBorder="1"/>
    <xf numFmtId="0" fontId="8" fillId="0" borderId="35" xfId="0" applyFont="1" applyBorder="1" applyAlignment="1">
      <alignment horizontal="left"/>
    </xf>
    <xf numFmtId="0" fontId="8" fillId="0" borderId="40" xfId="0" applyFont="1" applyBorder="1"/>
    <xf numFmtId="0" fontId="8" fillId="0" borderId="41" xfId="0" applyFont="1" applyBorder="1"/>
    <xf numFmtId="0" fontId="8" fillId="0" borderId="42" xfId="0" applyFont="1" applyBorder="1"/>
    <xf numFmtId="0" fontId="5" fillId="0" borderId="3" xfId="0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5" xfId="0" applyBorder="1"/>
    <xf numFmtId="0" fontId="2" fillId="0" borderId="25" xfId="0" applyFont="1" applyBorder="1" applyAlignment="1">
      <alignment horizontal="center"/>
    </xf>
    <xf numFmtId="0" fontId="2" fillId="0" borderId="25" xfId="0" applyFont="1" applyBorder="1"/>
    <xf numFmtId="2" fontId="0" fillId="0" borderId="25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00CC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</xdr:row>
      <xdr:rowOff>19050</xdr:rowOff>
    </xdr:from>
    <xdr:to>
      <xdr:col>14</xdr:col>
      <xdr:colOff>289424</xdr:colOff>
      <xdr:row>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13306-9A3F-7CB5-AA9C-B4789A89D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209550"/>
          <a:ext cx="4823324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38100</xdr:rowOff>
    </xdr:from>
    <xdr:to>
      <xdr:col>13</xdr:col>
      <xdr:colOff>285750</xdr:colOff>
      <xdr:row>10</xdr:row>
      <xdr:rowOff>59672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9ADDA0-98FD-E26E-6AB2-D21423E1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28725"/>
          <a:ext cx="7772400" cy="783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38101</xdr:rowOff>
    </xdr:from>
    <xdr:to>
      <xdr:col>16</xdr:col>
      <xdr:colOff>539151</xdr:colOff>
      <xdr:row>19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2570AD-0828-5634-59EE-899C378DC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2571751"/>
          <a:ext cx="3587151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605501</xdr:colOff>
      <xdr:row>7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7212F-85EF-CACF-CBCE-FF04EF147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00025"/>
          <a:ext cx="4263101" cy="13525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</xdr:rowOff>
    </xdr:from>
    <xdr:to>
      <xdr:col>16</xdr:col>
      <xdr:colOff>598207</xdr:colOff>
      <xdr:row>13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3D161A-D047-8B19-40DA-103A94B4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771651"/>
          <a:ext cx="4255807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7</xdr:row>
      <xdr:rowOff>0</xdr:rowOff>
    </xdr:from>
    <xdr:to>
      <xdr:col>11</xdr:col>
      <xdr:colOff>85724</xdr:colOff>
      <xdr:row>26</xdr:row>
      <xdr:rowOff>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583DB-8BA5-8746-4BDB-2DC2BD986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333500"/>
          <a:ext cx="7724775" cy="3622394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42</xdr:row>
      <xdr:rowOff>190499</xdr:rowOff>
    </xdr:from>
    <xdr:to>
      <xdr:col>12</xdr:col>
      <xdr:colOff>581024</xdr:colOff>
      <xdr:row>52</xdr:row>
      <xdr:rowOff>42902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FC1E18-7038-9B95-DB7A-F9C18BEF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8191499"/>
          <a:ext cx="8829675" cy="17574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1</xdr:row>
      <xdr:rowOff>0</xdr:rowOff>
    </xdr:from>
    <xdr:to>
      <xdr:col>20</xdr:col>
      <xdr:colOff>323850</xdr:colOff>
      <xdr:row>7</xdr:row>
      <xdr:rowOff>39698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EE2A1C-0F60-BAE5-F806-EC5A949F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190500"/>
          <a:ext cx="5486400" cy="11826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1</xdr:row>
      <xdr:rowOff>0</xdr:rowOff>
    </xdr:from>
    <xdr:to>
      <xdr:col>18</xdr:col>
      <xdr:colOff>57151</xdr:colOff>
      <xdr:row>23</xdr:row>
      <xdr:rowOff>184366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9C1015-0DAE-64B4-1123-39F94EE33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1" y="200025"/>
          <a:ext cx="4324350" cy="43848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KA\Documents\GMC\HstY16Q1.Xls" TargetMode="External"/><Relationship Id="rId1" Type="http://schemas.openxmlformats.org/officeDocument/2006/relationships/externalLinkPath" Target="/Users/AMAKA/Documents/GMC/HstY16Q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</row>
        <row r="13">
          <cell r="A13">
            <v>5</v>
          </cell>
        </row>
        <row r="14">
          <cell r="A14">
            <v>5</v>
          </cell>
        </row>
        <row r="19">
          <cell r="A19">
            <v>5</v>
          </cell>
        </row>
        <row r="20">
          <cell r="A20">
            <v>0</v>
          </cell>
        </row>
        <row r="21">
          <cell r="A21">
            <v>325</v>
          </cell>
        </row>
        <row r="22">
          <cell r="A22">
            <v>335</v>
          </cell>
        </row>
        <row r="23">
          <cell r="A23">
            <v>375</v>
          </cell>
        </row>
        <row r="24">
          <cell r="A24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725</v>
          </cell>
        </row>
        <row r="29">
          <cell r="A29">
            <v>850</v>
          </cell>
        </row>
        <row r="30">
          <cell r="A30">
            <v>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9">
          <cell r="A39">
            <v>100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1</v>
          </cell>
        </row>
        <row r="43">
          <cell r="A43">
            <v>0</v>
          </cell>
        </row>
        <row r="44">
          <cell r="A44">
            <v>25</v>
          </cell>
        </row>
        <row r="49">
          <cell r="A49">
            <v>325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3</v>
          </cell>
        </row>
        <row r="63">
          <cell r="A63">
            <v>7</v>
          </cell>
        </row>
        <row r="64">
          <cell r="A64">
            <v>1</v>
          </cell>
        </row>
        <row r="67">
          <cell r="A67">
            <v>0</v>
          </cell>
        </row>
        <row r="71">
          <cell r="A71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4">
          <cell r="A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6246-F1E6-4450-9AF8-E522420C5A3B}">
  <dimension ref="B3:Q30"/>
  <sheetViews>
    <sheetView topLeftCell="A7" zoomScaleNormal="100" workbookViewId="0">
      <selection activeCell="F13" sqref="F13"/>
    </sheetView>
  </sheetViews>
  <sheetFormatPr defaultRowHeight="15" x14ac:dyDescent="0.25"/>
  <cols>
    <col min="4" max="4" width="9.85546875" bestFit="1" customWidth="1"/>
  </cols>
  <sheetData>
    <row r="3" spans="2:17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2:17" ht="26.25" x14ac:dyDescent="0.4">
      <c r="B4" s="79" t="s">
        <v>292</v>
      </c>
      <c r="F4" s="80" t="s">
        <v>343</v>
      </c>
      <c r="G4" s="80"/>
      <c r="K4" s="81" t="s">
        <v>294</v>
      </c>
      <c r="L4" s="97">
        <v>2016</v>
      </c>
      <c r="M4" s="81" t="s">
        <v>295</v>
      </c>
      <c r="N4" s="96">
        <v>4</v>
      </c>
      <c r="O4" s="82" t="s">
        <v>293</v>
      </c>
      <c r="P4" s="83" t="s">
        <v>293</v>
      </c>
      <c r="Q4" s="84"/>
    </row>
    <row r="5" spans="2:17" x14ac:dyDescent="0.25">
      <c r="B5" s="85"/>
      <c r="C5" s="86"/>
      <c r="D5" s="86"/>
      <c r="E5" s="86"/>
      <c r="F5" s="86"/>
      <c r="G5" s="87"/>
      <c r="H5" s="86"/>
      <c r="I5" s="86"/>
      <c r="J5" s="86"/>
      <c r="K5" s="88"/>
      <c r="L5" s="89"/>
      <c r="M5" s="90"/>
      <c r="N5" s="86"/>
      <c r="O5" s="86"/>
      <c r="P5" s="86"/>
      <c r="Q5" s="91"/>
    </row>
    <row r="6" spans="2:17" x14ac:dyDescent="0.25">
      <c r="B6" s="98"/>
      <c r="C6" s="67"/>
      <c r="D6" s="99" t="s">
        <v>296</v>
      </c>
      <c r="E6" s="100" t="s">
        <v>6</v>
      </c>
      <c r="F6" s="101" t="s">
        <v>7</v>
      </c>
      <c r="G6" s="102" t="s">
        <v>8</v>
      </c>
      <c r="H6" s="67"/>
      <c r="I6" s="68"/>
      <c r="J6" s="68"/>
      <c r="K6" s="68"/>
      <c r="L6" s="103" t="s">
        <v>297</v>
      </c>
      <c r="M6" s="67"/>
      <c r="N6" s="104" t="s">
        <v>298</v>
      </c>
      <c r="O6" s="68"/>
      <c r="P6" s="103" t="s">
        <v>299</v>
      </c>
      <c r="Q6" s="91"/>
    </row>
    <row r="7" spans="2:17" x14ac:dyDescent="0.25">
      <c r="B7" s="105" t="s">
        <v>300</v>
      </c>
      <c r="C7" s="67"/>
      <c r="D7" s="106"/>
      <c r="E7" s="69"/>
      <c r="F7" s="69"/>
      <c r="G7" s="69"/>
      <c r="H7" s="67"/>
      <c r="I7" s="3" t="s">
        <v>301</v>
      </c>
      <c r="J7" s="68"/>
      <c r="K7" s="68"/>
      <c r="L7" s="107" t="s">
        <v>302</v>
      </c>
      <c r="M7" s="67"/>
      <c r="N7" s="107" t="s">
        <v>303</v>
      </c>
      <c r="O7" s="106"/>
      <c r="P7" s="108" t="s">
        <v>304</v>
      </c>
      <c r="Q7" s="91"/>
    </row>
    <row r="8" spans="2:17" x14ac:dyDescent="0.25">
      <c r="B8" s="98"/>
      <c r="C8" s="67" t="s">
        <v>9</v>
      </c>
      <c r="D8" s="109">
        <v>10</v>
      </c>
      <c r="E8" s="110">
        <v>15</v>
      </c>
      <c r="F8" s="110">
        <v>15</v>
      </c>
      <c r="G8" s="111">
        <v>10</v>
      </c>
      <c r="H8" s="67"/>
      <c r="I8" s="68"/>
      <c r="J8" s="68" t="s">
        <v>305</v>
      </c>
      <c r="K8" s="68"/>
      <c r="L8" s="112">
        <f>[1]W!A56</f>
        <v>0</v>
      </c>
      <c r="M8" s="67"/>
      <c r="N8" s="112">
        <f>[1]W!A57</f>
        <v>5</v>
      </c>
      <c r="O8" s="67"/>
      <c r="P8" s="112">
        <f>[1]W!A58</f>
        <v>0</v>
      </c>
      <c r="Q8" s="91"/>
    </row>
    <row r="9" spans="2:17" x14ac:dyDescent="0.25">
      <c r="B9" s="98"/>
      <c r="C9" s="67" t="s">
        <v>187</v>
      </c>
      <c r="D9" s="113">
        <v>5</v>
      </c>
      <c r="E9" s="69">
        <v>5</v>
      </c>
      <c r="F9" s="69">
        <v>5</v>
      </c>
      <c r="G9" s="114">
        <f>[1]W!A13</f>
        <v>5</v>
      </c>
      <c r="H9" s="67"/>
      <c r="I9" s="68"/>
      <c r="J9" s="68" t="s">
        <v>306</v>
      </c>
      <c r="K9" s="68"/>
      <c r="L9" s="115">
        <f>[1]W!A59</f>
        <v>0</v>
      </c>
      <c r="M9" s="67"/>
      <c r="N9" s="116">
        <f>[1]W!A60</f>
        <v>0</v>
      </c>
      <c r="O9" s="67"/>
      <c r="P9" s="117">
        <f>[1]W!A61</f>
        <v>3</v>
      </c>
      <c r="Q9" s="91"/>
    </row>
    <row r="10" spans="2:17" x14ac:dyDescent="0.25">
      <c r="B10" s="98"/>
      <c r="C10" s="67" t="s">
        <v>11</v>
      </c>
      <c r="D10" s="118">
        <v>10</v>
      </c>
      <c r="E10" s="119">
        <v>10</v>
      </c>
      <c r="F10" s="119">
        <v>10</v>
      </c>
      <c r="G10" s="120">
        <f>[1]W!A14</f>
        <v>5</v>
      </c>
      <c r="H10" s="67"/>
      <c r="I10" s="68"/>
      <c r="J10" s="68" t="s">
        <v>307</v>
      </c>
      <c r="K10" s="68"/>
      <c r="L10" s="106"/>
      <c r="M10" s="67"/>
      <c r="N10" s="115">
        <f>[1]W!A63</f>
        <v>7</v>
      </c>
      <c r="O10" s="67"/>
      <c r="P10" s="121">
        <f>[1]W!A64</f>
        <v>1</v>
      </c>
      <c r="Q10" s="91"/>
    </row>
    <row r="11" spans="2:17" x14ac:dyDescent="0.25">
      <c r="B11" s="98"/>
      <c r="C11" s="67"/>
      <c r="D11" s="69"/>
      <c r="E11" s="69"/>
      <c r="F11" s="69"/>
      <c r="G11" s="69"/>
      <c r="H11" s="67"/>
      <c r="I11" s="68"/>
      <c r="J11" s="68"/>
      <c r="K11" s="68"/>
      <c r="L11" s="106"/>
      <c r="M11" s="67"/>
      <c r="N11" s="69"/>
      <c r="O11" s="67"/>
      <c r="P11" s="122"/>
      <c r="Q11" s="91"/>
    </row>
    <row r="12" spans="2:17" x14ac:dyDescent="0.25">
      <c r="B12" s="105" t="s">
        <v>5</v>
      </c>
      <c r="C12" s="67"/>
      <c r="D12" s="67"/>
      <c r="E12" s="67"/>
      <c r="F12" s="67"/>
      <c r="G12" s="67"/>
      <c r="H12" s="67"/>
      <c r="I12" s="66" t="s">
        <v>308</v>
      </c>
      <c r="J12" s="67"/>
      <c r="K12" s="67"/>
      <c r="L12" s="67"/>
      <c r="M12" s="67"/>
      <c r="N12" s="67"/>
      <c r="O12" s="67"/>
      <c r="P12" s="67"/>
      <c r="Q12" s="91"/>
    </row>
    <row r="13" spans="2:17" x14ac:dyDescent="0.25">
      <c r="B13" s="98"/>
      <c r="C13" s="67" t="s">
        <v>9</v>
      </c>
      <c r="D13" s="67"/>
      <c r="E13" s="123">
        <v>330</v>
      </c>
      <c r="F13" s="110">
        <f>[1]W!A19</f>
        <v>5</v>
      </c>
      <c r="G13" s="111">
        <f>[1]W!A22</f>
        <v>335</v>
      </c>
      <c r="H13" s="67"/>
      <c r="I13" s="68" t="s">
        <v>309</v>
      </c>
      <c r="J13" s="68"/>
      <c r="K13" s="106" t="s">
        <v>86</v>
      </c>
      <c r="L13" s="124">
        <f>[1]W!A52</f>
        <v>0</v>
      </c>
      <c r="M13" s="106" t="s">
        <v>310</v>
      </c>
      <c r="N13" s="125">
        <f>[1]W!A53</f>
        <v>0</v>
      </c>
      <c r="O13" s="106" t="s">
        <v>311</v>
      </c>
      <c r="P13" s="124">
        <f>[1]W!A54</f>
        <v>0</v>
      </c>
      <c r="Q13" s="91"/>
    </row>
    <row r="14" spans="2:17" x14ac:dyDescent="0.25">
      <c r="B14" s="98"/>
      <c r="C14" s="67" t="s">
        <v>187</v>
      </c>
      <c r="D14" s="67"/>
      <c r="E14" s="126">
        <v>335</v>
      </c>
      <c r="F14" s="69">
        <f>[1]W!A20</f>
        <v>0</v>
      </c>
      <c r="G14" s="114">
        <f>[1]W!A23</f>
        <v>375</v>
      </c>
      <c r="H14" s="67"/>
      <c r="I14" s="67" t="s">
        <v>312</v>
      </c>
      <c r="J14" s="67"/>
      <c r="K14" s="67"/>
      <c r="L14" s="116">
        <v>35</v>
      </c>
      <c r="M14" s="68" t="s">
        <v>313</v>
      </c>
      <c r="N14" s="72"/>
      <c r="O14" s="72"/>
      <c r="P14" s="116">
        <f>[1]W!A71</f>
        <v>0</v>
      </c>
      <c r="Q14" s="91"/>
    </row>
    <row r="15" spans="2:17" x14ac:dyDescent="0.25">
      <c r="B15" s="98"/>
      <c r="C15" s="67" t="s">
        <v>11</v>
      </c>
      <c r="D15" s="67"/>
      <c r="E15" s="127">
        <v>335</v>
      </c>
      <c r="F15" s="119">
        <f>[1]W!A21</f>
        <v>325</v>
      </c>
      <c r="G15" s="120">
        <f>[1]W!A24</f>
        <v>490</v>
      </c>
      <c r="H15" s="67"/>
      <c r="I15" s="68" t="s">
        <v>314</v>
      </c>
      <c r="J15" s="67"/>
      <c r="K15" s="68"/>
      <c r="L15" s="115">
        <v>5</v>
      </c>
      <c r="M15" s="68" t="s">
        <v>239</v>
      </c>
      <c r="N15" s="68"/>
      <c r="O15" s="68"/>
      <c r="P15" s="115">
        <v>18</v>
      </c>
      <c r="Q15" s="91"/>
    </row>
    <row r="16" spans="2:17" x14ac:dyDescent="0.25">
      <c r="B16" s="98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91"/>
    </row>
    <row r="17" spans="2:17" x14ac:dyDescent="0.25">
      <c r="B17" s="105" t="s">
        <v>315</v>
      </c>
      <c r="C17" s="67"/>
      <c r="D17" s="67"/>
      <c r="E17" s="67"/>
      <c r="F17" s="67"/>
      <c r="G17" s="67"/>
      <c r="H17" s="67"/>
      <c r="I17" s="3" t="s">
        <v>316</v>
      </c>
      <c r="J17" s="67"/>
      <c r="K17" s="68"/>
      <c r="L17" s="67"/>
      <c r="M17" s="67"/>
      <c r="N17" s="68"/>
      <c r="O17" s="68"/>
      <c r="P17" s="69"/>
      <c r="Q17" s="91"/>
    </row>
    <row r="18" spans="2:17" x14ac:dyDescent="0.25">
      <c r="B18" s="98"/>
      <c r="C18" s="67" t="s">
        <v>305</v>
      </c>
      <c r="D18" s="67"/>
      <c r="E18" s="123">
        <f>[1]W!A26</f>
        <v>590</v>
      </c>
      <c r="F18" s="110">
        <f>[1]W!A29</f>
        <v>850</v>
      </c>
      <c r="G18" s="111">
        <f>[1]W!A32</f>
        <v>150</v>
      </c>
      <c r="H18" s="67"/>
      <c r="I18" s="68" t="s">
        <v>317</v>
      </c>
      <c r="J18" s="68"/>
      <c r="K18" s="68"/>
      <c r="L18" s="128">
        <v>0</v>
      </c>
      <c r="M18" s="68" t="s">
        <v>318</v>
      </c>
      <c r="N18" s="68"/>
      <c r="O18" s="68"/>
      <c r="P18" s="129">
        <v>0</v>
      </c>
      <c r="Q18" s="91"/>
    </row>
    <row r="19" spans="2:17" x14ac:dyDescent="0.25">
      <c r="B19" s="98" t="s">
        <v>319</v>
      </c>
      <c r="C19" s="67" t="s">
        <v>306</v>
      </c>
      <c r="D19" s="67"/>
      <c r="E19" s="126">
        <f>[1]W!A27</f>
        <v>700</v>
      </c>
      <c r="F19" s="69">
        <f>[1]W!A30</f>
        <v>0</v>
      </c>
      <c r="G19" s="114">
        <f>[1]W!A33</f>
        <v>250</v>
      </c>
      <c r="H19" s="67"/>
      <c r="I19" s="68" t="s">
        <v>320</v>
      </c>
      <c r="J19" s="68"/>
      <c r="K19" s="68"/>
      <c r="L19" s="130">
        <v>12</v>
      </c>
      <c r="M19" s="67"/>
      <c r="N19" s="68"/>
      <c r="O19" s="68"/>
      <c r="P19" s="69"/>
      <c r="Q19" s="91"/>
    </row>
    <row r="20" spans="2:17" x14ac:dyDescent="0.25">
      <c r="B20" s="98" t="s">
        <v>321</v>
      </c>
      <c r="C20" s="67" t="s">
        <v>307</v>
      </c>
      <c r="D20" s="67"/>
      <c r="E20" s="127">
        <f>[1]W!A28</f>
        <v>725</v>
      </c>
      <c r="F20" s="119">
        <f>[1]W!A31</f>
        <v>1000</v>
      </c>
      <c r="G20" s="120">
        <f>[1]W!A34</f>
        <v>625</v>
      </c>
      <c r="H20" s="67"/>
      <c r="I20" s="68" t="s">
        <v>322</v>
      </c>
      <c r="J20" s="68"/>
      <c r="K20" s="68"/>
      <c r="L20" s="115">
        <v>85000</v>
      </c>
      <c r="M20" s="68" t="s">
        <v>323</v>
      </c>
      <c r="N20" s="67"/>
      <c r="O20" s="68"/>
      <c r="P20" s="129">
        <v>5</v>
      </c>
      <c r="Q20" s="91"/>
    </row>
    <row r="21" spans="2:17" x14ac:dyDescent="0.25">
      <c r="B21" s="98"/>
      <c r="C21" s="67"/>
      <c r="D21" s="67"/>
      <c r="E21" s="67"/>
      <c r="F21" s="69"/>
      <c r="G21" s="69"/>
      <c r="H21" s="67"/>
      <c r="I21" s="67"/>
      <c r="J21" s="67"/>
      <c r="K21" s="67"/>
      <c r="L21" s="67"/>
      <c r="M21" s="67"/>
      <c r="N21" s="67"/>
      <c r="O21" s="67"/>
      <c r="P21" s="67"/>
      <c r="Q21" s="91"/>
    </row>
    <row r="22" spans="2:17" x14ac:dyDescent="0.25">
      <c r="B22" s="131" t="s">
        <v>324</v>
      </c>
      <c r="C22" s="67"/>
      <c r="D22" s="67"/>
      <c r="E22" s="67"/>
      <c r="F22" s="67"/>
      <c r="G22" s="67"/>
      <c r="H22" s="67"/>
      <c r="I22" s="3" t="s">
        <v>325</v>
      </c>
      <c r="J22" s="67"/>
      <c r="K22" s="67"/>
      <c r="L22" s="67"/>
      <c r="M22" s="67"/>
      <c r="N22" s="68"/>
      <c r="O22" s="68"/>
      <c r="P22" s="68"/>
      <c r="Q22" s="91"/>
    </row>
    <row r="23" spans="2:17" x14ac:dyDescent="0.25">
      <c r="B23" s="98" t="s">
        <v>326</v>
      </c>
      <c r="C23" s="67"/>
      <c r="D23" s="69"/>
      <c r="E23" s="123">
        <v>0</v>
      </c>
      <c r="F23" s="110">
        <v>0</v>
      </c>
      <c r="G23" s="111">
        <v>0</v>
      </c>
      <c r="H23" s="67"/>
      <c r="I23" s="68" t="s">
        <v>327</v>
      </c>
      <c r="J23" s="68"/>
      <c r="K23" s="68"/>
      <c r="L23" s="128">
        <v>400</v>
      </c>
      <c r="M23" s="68" t="s">
        <v>328</v>
      </c>
      <c r="N23" s="68"/>
      <c r="O23" s="68"/>
      <c r="P23" s="128">
        <f>[1]W!A87</f>
        <v>0</v>
      </c>
      <c r="Q23" s="91"/>
    </row>
    <row r="24" spans="2:17" x14ac:dyDescent="0.25">
      <c r="B24" s="98" t="s">
        <v>329</v>
      </c>
      <c r="C24" s="67"/>
      <c r="D24" s="69"/>
      <c r="E24" s="126">
        <f>[1]W!A39</f>
        <v>100</v>
      </c>
      <c r="F24" s="69">
        <f>[1]W!A40</f>
        <v>0</v>
      </c>
      <c r="G24" s="114">
        <f>[1]W!A41</f>
        <v>0</v>
      </c>
      <c r="H24" s="67"/>
      <c r="I24" s="68" t="s">
        <v>330</v>
      </c>
      <c r="J24" s="68"/>
      <c r="K24" s="68"/>
      <c r="L24" s="116">
        <f>[1]W!A88</f>
        <v>0</v>
      </c>
      <c r="M24" s="67" t="s">
        <v>331</v>
      </c>
      <c r="N24" s="68"/>
      <c r="O24" s="68"/>
      <c r="P24" s="116">
        <f>[1]W!A89</f>
        <v>0</v>
      </c>
      <c r="Q24" s="91"/>
    </row>
    <row r="25" spans="2:17" x14ac:dyDescent="0.25">
      <c r="B25" s="98" t="s">
        <v>332</v>
      </c>
      <c r="C25" s="67"/>
      <c r="D25" s="67"/>
      <c r="E25" s="126">
        <f>[1]W!A42</f>
        <v>1</v>
      </c>
      <c r="F25" s="69">
        <f>[1]W!A43</f>
        <v>0</v>
      </c>
      <c r="G25" s="114">
        <f>[1]W!A44</f>
        <v>25</v>
      </c>
      <c r="H25" s="67"/>
      <c r="I25" s="68" t="s">
        <v>333</v>
      </c>
      <c r="J25" s="68"/>
      <c r="K25" s="68"/>
      <c r="L25" s="116">
        <v>2</v>
      </c>
      <c r="M25" s="68" t="s">
        <v>334</v>
      </c>
      <c r="N25" s="68"/>
      <c r="O25" s="68"/>
      <c r="P25" s="116">
        <v>2</v>
      </c>
      <c r="Q25" s="91"/>
    </row>
    <row r="26" spans="2:17" x14ac:dyDescent="0.25">
      <c r="B26" s="98" t="s">
        <v>335</v>
      </c>
      <c r="C26" s="67"/>
      <c r="D26" s="69"/>
      <c r="E26" s="127">
        <v>5</v>
      </c>
      <c r="F26" s="119">
        <v>5</v>
      </c>
      <c r="G26" s="120">
        <v>5</v>
      </c>
      <c r="H26" s="67"/>
      <c r="I26" s="68" t="s">
        <v>336</v>
      </c>
      <c r="J26" s="68"/>
      <c r="K26" s="68"/>
      <c r="L26" s="115">
        <f>[1]W!A67</f>
        <v>0</v>
      </c>
      <c r="M26" s="68" t="s">
        <v>337</v>
      </c>
      <c r="N26" s="68"/>
      <c r="O26" s="68"/>
      <c r="P26" s="115">
        <f>[1]W!A94</f>
        <v>0</v>
      </c>
      <c r="Q26" s="91"/>
    </row>
    <row r="27" spans="2:17" x14ac:dyDescent="0.25">
      <c r="B27" s="98"/>
      <c r="C27" s="67"/>
      <c r="D27" s="67"/>
      <c r="E27" s="67"/>
      <c r="F27" s="67"/>
      <c r="G27" s="67"/>
      <c r="H27" s="67"/>
      <c r="I27" s="68"/>
      <c r="J27" s="68"/>
      <c r="K27" s="68"/>
      <c r="L27" s="69"/>
      <c r="M27" s="68"/>
      <c r="N27" s="68"/>
      <c r="O27" s="68"/>
      <c r="P27" s="67"/>
      <c r="Q27" s="91"/>
    </row>
    <row r="28" spans="2:17" x14ac:dyDescent="0.25">
      <c r="B28" s="131" t="s">
        <v>338</v>
      </c>
      <c r="C28" s="67"/>
      <c r="D28" s="67"/>
      <c r="E28" s="67"/>
      <c r="F28" s="67"/>
      <c r="G28" s="67"/>
      <c r="H28" s="67"/>
      <c r="I28" s="3" t="s">
        <v>339</v>
      </c>
      <c r="J28" s="68"/>
      <c r="K28" s="68"/>
      <c r="L28" s="69"/>
      <c r="M28" s="68"/>
      <c r="N28" s="68"/>
      <c r="O28" s="68"/>
      <c r="P28" s="67"/>
      <c r="Q28" s="91"/>
    </row>
    <row r="29" spans="2:17" x14ac:dyDescent="0.25">
      <c r="B29" s="132" t="s">
        <v>340</v>
      </c>
      <c r="C29" s="67"/>
      <c r="D29" s="67"/>
      <c r="E29" s="133">
        <f>[1]W!A49</f>
        <v>325</v>
      </c>
      <c r="F29" s="134">
        <f>[1]W!A50</f>
        <v>0</v>
      </c>
      <c r="G29" s="135">
        <f>[1]W!A51</f>
        <v>0</v>
      </c>
      <c r="H29" s="67"/>
      <c r="I29" s="68" t="s">
        <v>341</v>
      </c>
      <c r="J29" s="68"/>
      <c r="K29" s="68"/>
      <c r="L29" s="129">
        <v>1</v>
      </c>
      <c r="M29" s="68" t="s">
        <v>342</v>
      </c>
      <c r="N29" s="68"/>
      <c r="O29" s="68"/>
      <c r="P29" s="129">
        <v>1</v>
      </c>
      <c r="Q29" s="91"/>
    </row>
    <row r="30" spans="2:17" x14ac:dyDescent="0.25">
      <c r="B30" s="92"/>
      <c r="C30" s="93"/>
      <c r="D30" s="93"/>
      <c r="E30" s="93"/>
      <c r="F30" s="93"/>
      <c r="G30" s="93"/>
      <c r="H30" s="94"/>
      <c r="I30" s="94"/>
      <c r="J30" s="94"/>
      <c r="K30" s="94"/>
      <c r="L30" s="94"/>
      <c r="M30" s="94"/>
      <c r="N30" s="94"/>
      <c r="O30" s="94"/>
      <c r="P30" s="94"/>
      <c r="Q30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91EA-9959-414D-B69A-3FB059203241}">
  <dimension ref="B2:M34"/>
  <sheetViews>
    <sheetView topLeftCell="F18" workbookViewId="0">
      <selection activeCell="Q11" sqref="Q11"/>
    </sheetView>
  </sheetViews>
  <sheetFormatPr defaultRowHeight="15" x14ac:dyDescent="0.25"/>
  <cols>
    <col min="4" max="5" width="9.85546875" customWidth="1"/>
    <col min="6" max="6" width="10.28515625" customWidth="1"/>
  </cols>
  <sheetData>
    <row r="2" spans="2:2" ht="18.75" x14ac:dyDescent="0.3">
      <c r="B2" s="2" t="s">
        <v>0</v>
      </c>
    </row>
    <row r="12" spans="2:2" x14ac:dyDescent="0.25">
      <c r="B12" t="s">
        <v>4</v>
      </c>
    </row>
    <row r="13" spans="2:2" x14ac:dyDescent="0.25">
      <c r="B13" t="s">
        <v>1</v>
      </c>
    </row>
    <row r="14" spans="2:2" x14ac:dyDescent="0.25">
      <c r="B14" t="s">
        <v>2</v>
      </c>
    </row>
    <row r="15" spans="2:2" x14ac:dyDescent="0.25">
      <c r="B15" t="s">
        <v>3</v>
      </c>
    </row>
    <row r="17" spans="2:13" x14ac:dyDescent="0.25">
      <c r="B17" s="3" t="s">
        <v>5</v>
      </c>
      <c r="D17" s="5" t="s">
        <v>6</v>
      </c>
      <c r="E17" s="5" t="s">
        <v>7</v>
      </c>
      <c r="F17" s="5" t="s">
        <v>8</v>
      </c>
      <c r="I17" s="5" t="s">
        <v>12</v>
      </c>
      <c r="K17" s="5" t="s">
        <v>6</v>
      </c>
      <c r="L17" s="5" t="s">
        <v>7</v>
      </c>
      <c r="M17" s="5" t="s">
        <v>8</v>
      </c>
    </row>
    <row r="18" spans="2:13" x14ac:dyDescent="0.25">
      <c r="C18" t="s">
        <v>9</v>
      </c>
      <c r="D18" s="6">
        <v>340</v>
      </c>
      <c r="E18" s="6">
        <v>520</v>
      </c>
      <c r="F18" s="6">
        <v>760</v>
      </c>
      <c r="J18" t="s">
        <v>9</v>
      </c>
      <c r="K18" s="6">
        <v>691</v>
      </c>
      <c r="L18" s="6">
        <v>466</v>
      </c>
      <c r="M18" s="6">
        <v>273</v>
      </c>
    </row>
    <row r="19" spans="2:13" x14ac:dyDescent="0.25">
      <c r="C19" t="s">
        <v>10</v>
      </c>
      <c r="D19" s="6">
        <v>330</v>
      </c>
      <c r="E19" s="6">
        <v>490</v>
      </c>
      <c r="F19" s="6">
        <v>725</v>
      </c>
      <c r="J19" t="s">
        <v>10</v>
      </c>
      <c r="K19" s="6">
        <v>140</v>
      </c>
      <c r="L19" s="6">
        <v>109</v>
      </c>
      <c r="M19" s="6">
        <v>58</v>
      </c>
    </row>
    <row r="20" spans="2:13" x14ac:dyDescent="0.25">
      <c r="C20" t="s">
        <v>11</v>
      </c>
      <c r="D20" s="6">
        <v>335</v>
      </c>
      <c r="E20" s="6">
        <v>520</v>
      </c>
      <c r="F20" s="6">
        <v>760</v>
      </c>
      <c r="J20" t="s">
        <v>11</v>
      </c>
      <c r="K20" s="6">
        <v>532</v>
      </c>
      <c r="L20" s="6">
        <v>334</v>
      </c>
      <c r="M20" s="6">
        <v>182</v>
      </c>
    </row>
    <row r="23" spans="2:13" x14ac:dyDescent="0.25">
      <c r="B23" s="1" t="s">
        <v>17</v>
      </c>
      <c r="D23" s="5" t="s">
        <v>6</v>
      </c>
      <c r="E23" s="5" t="s">
        <v>7</v>
      </c>
      <c r="F23" s="5" t="s">
        <v>8</v>
      </c>
      <c r="I23" s="1" t="s">
        <v>13</v>
      </c>
      <c r="K23" s="5" t="s">
        <v>6</v>
      </c>
      <c r="L23" s="5" t="s">
        <v>7</v>
      </c>
      <c r="M23" s="5" t="s">
        <v>8</v>
      </c>
    </row>
    <row r="24" spans="2:13" x14ac:dyDescent="0.25">
      <c r="C24" t="s">
        <v>9</v>
      </c>
      <c r="D24" s="7">
        <f>D18*K18</f>
        <v>234940</v>
      </c>
      <c r="E24" s="7">
        <f t="shared" ref="E24:F26" si="0">E18*L18</f>
        <v>242320</v>
      </c>
      <c r="F24" s="7">
        <f t="shared" si="0"/>
        <v>207480</v>
      </c>
      <c r="J24" t="s">
        <v>14</v>
      </c>
      <c r="K24" s="6">
        <v>55</v>
      </c>
      <c r="L24" s="6">
        <v>34</v>
      </c>
      <c r="M24" s="6">
        <v>23</v>
      </c>
    </row>
    <row r="25" spans="2:13" x14ac:dyDescent="0.25">
      <c r="C25" t="s">
        <v>10</v>
      </c>
      <c r="D25" s="7">
        <f t="shared" ref="D25:D26" si="1">D19*K19</f>
        <v>46200</v>
      </c>
      <c r="E25" s="7">
        <f t="shared" si="0"/>
        <v>53410</v>
      </c>
      <c r="F25" s="7">
        <f t="shared" si="0"/>
        <v>42050</v>
      </c>
      <c r="J25" t="s">
        <v>15</v>
      </c>
      <c r="K25" s="6">
        <v>40</v>
      </c>
      <c r="L25" s="6">
        <v>80</v>
      </c>
      <c r="M25" s="6">
        <v>120</v>
      </c>
    </row>
    <row r="26" spans="2:13" x14ac:dyDescent="0.25">
      <c r="C26" t="s">
        <v>11</v>
      </c>
      <c r="D26" s="7">
        <f t="shared" si="1"/>
        <v>178220</v>
      </c>
      <c r="E26" s="7">
        <f t="shared" si="0"/>
        <v>173680</v>
      </c>
      <c r="F26" s="7">
        <f t="shared" si="0"/>
        <v>138320</v>
      </c>
      <c r="J26" t="s">
        <v>16</v>
      </c>
      <c r="K26" s="8">
        <f>K25*K24</f>
        <v>2200</v>
      </c>
      <c r="L26" s="8">
        <f t="shared" ref="L26:M26" si="2">L25*L24</f>
        <v>2720</v>
      </c>
      <c r="M26" s="8">
        <f t="shared" si="2"/>
        <v>2760</v>
      </c>
    </row>
    <row r="27" spans="2:13" x14ac:dyDescent="0.25">
      <c r="F27" s="1">
        <f>SUM(D24:F26)</f>
        <v>1316620</v>
      </c>
      <c r="M27" s="5">
        <f>SUM(K26:M26)</f>
        <v>7680</v>
      </c>
    </row>
    <row r="29" spans="2:13" x14ac:dyDescent="0.25">
      <c r="B29" s="1" t="s">
        <v>18</v>
      </c>
      <c r="F29" s="8">
        <f>M27+F27</f>
        <v>1324300</v>
      </c>
    </row>
    <row r="30" spans="2:13" x14ac:dyDescent="0.25">
      <c r="B30" t="s">
        <v>19</v>
      </c>
      <c r="F30" s="6">
        <v>1324300</v>
      </c>
    </row>
    <row r="32" spans="2:13" x14ac:dyDescent="0.25">
      <c r="B32" s="1" t="s">
        <v>20</v>
      </c>
      <c r="F32" s="6">
        <f>F30-F29</f>
        <v>0</v>
      </c>
    </row>
    <row r="33" spans="2:6" x14ac:dyDescent="0.25">
      <c r="B33" t="s">
        <v>21</v>
      </c>
      <c r="F33" s="4">
        <v>13</v>
      </c>
    </row>
    <row r="34" spans="2:6" x14ac:dyDescent="0.25">
      <c r="B34" s="1" t="s">
        <v>22</v>
      </c>
      <c r="F34" s="8">
        <f>F32/F33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B74B-046F-4E2E-899B-A08BA9A91EBC}">
  <dimension ref="B2:AQ80"/>
  <sheetViews>
    <sheetView tabSelected="1" topLeftCell="Z46" workbookViewId="0">
      <selection activeCell="AQ58" sqref="AQ58"/>
    </sheetView>
  </sheetViews>
  <sheetFormatPr defaultRowHeight="15" x14ac:dyDescent="0.25"/>
  <cols>
    <col min="2" max="2" width="13.140625" customWidth="1"/>
    <col min="24" max="24" width="2.7109375" customWidth="1"/>
    <col min="25" max="27" width="9.28515625" bestFit="1" customWidth="1"/>
    <col min="37" max="37" width="13.5703125" bestFit="1" customWidth="1"/>
    <col min="38" max="38" width="13.5703125" customWidth="1"/>
    <col min="39" max="39" width="12.5703125" customWidth="1"/>
  </cols>
  <sheetData>
    <row r="2" spans="2:39" x14ac:dyDescent="0.25">
      <c r="B2" s="1" t="s">
        <v>23</v>
      </c>
      <c r="E2" s="1" t="s">
        <v>24</v>
      </c>
      <c r="H2" s="9"/>
      <c r="I2" t="s">
        <v>55</v>
      </c>
      <c r="Y2" s="136" t="s">
        <v>59</v>
      </c>
      <c r="Z2" s="136"/>
      <c r="AA2" s="136"/>
      <c r="AC2" s="136" t="s">
        <v>60</v>
      </c>
      <c r="AD2" s="136"/>
      <c r="AE2" s="136"/>
      <c r="AG2" s="136" t="s">
        <v>61</v>
      </c>
      <c r="AH2" s="136"/>
      <c r="AI2" s="136"/>
      <c r="AK2" s="1" t="s">
        <v>85</v>
      </c>
      <c r="AM2">
        <v>340570</v>
      </c>
    </row>
    <row r="3" spans="2:39" x14ac:dyDescent="0.25">
      <c r="H3" s="10"/>
      <c r="I3" t="s">
        <v>56</v>
      </c>
      <c r="Y3" s="21" t="s">
        <v>6</v>
      </c>
      <c r="Z3" s="21" t="s">
        <v>7</v>
      </c>
      <c r="AA3" s="21" t="s">
        <v>8</v>
      </c>
      <c r="AC3" s="21" t="s">
        <v>6</v>
      </c>
      <c r="AD3" s="21" t="s">
        <v>7</v>
      </c>
      <c r="AE3" s="21" t="s">
        <v>8</v>
      </c>
      <c r="AG3" s="21" t="s">
        <v>6</v>
      </c>
      <c r="AH3" s="21" t="s">
        <v>7</v>
      </c>
      <c r="AI3" s="21" t="s">
        <v>8</v>
      </c>
      <c r="AK3" s="21" t="s">
        <v>86</v>
      </c>
      <c r="AL3" s="21" t="s">
        <v>87</v>
      </c>
      <c r="AM3" s="21" t="s">
        <v>88</v>
      </c>
    </row>
    <row r="4" spans="2:39" ht="17.25" x14ac:dyDescent="0.3">
      <c r="B4" t="s">
        <v>25</v>
      </c>
      <c r="E4">
        <v>1314236</v>
      </c>
      <c r="H4" s="11"/>
      <c r="I4" t="s">
        <v>57</v>
      </c>
      <c r="S4" s="25" t="s">
        <v>67</v>
      </c>
    </row>
    <row r="5" spans="2:39" x14ac:dyDescent="0.25">
      <c r="M5" s="1" t="s">
        <v>69</v>
      </c>
      <c r="P5" s="6">
        <v>4</v>
      </c>
      <c r="W5" s="20" t="s">
        <v>62</v>
      </c>
      <c r="X5" s="20"/>
      <c r="Y5" s="6">
        <v>1</v>
      </c>
      <c r="Z5" s="6">
        <v>2</v>
      </c>
      <c r="AA5" s="6">
        <v>3</v>
      </c>
      <c r="AC5" s="6">
        <v>1</v>
      </c>
      <c r="AD5" s="6">
        <v>2</v>
      </c>
      <c r="AE5" s="6">
        <v>3</v>
      </c>
      <c r="AG5" s="6">
        <v>1</v>
      </c>
      <c r="AH5" s="6">
        <v>2</v>
      </c>
      <c r="AI5" s="6">
        <v>3</v>
      </c>
      <c r="AK5" s="7">
        <v>5</v>
      </c>
      <c r="AL5" s="7">
        <v>0</v>
      </c>
      <c r="AM5" s="7">
        <v>0</v>
      </c>
    </row>
    <row r="6" spans="2:39" x14ac:dyDescent="0.25">
      <c r="B6" s="9" t="s">
        <v>42</v>
      </c>
      <c r="C6" s="9"/>
      <c r="D6" s="9"/>
      <c r="E6" s="9">
        <v>127328</v>
      </c>
      <c r="W6" s="20" t="s">
        <v>63</v>
      </c>
      <c r="X6" s="20"/>
      <c r="Y6" s="6">
        <v>78360</v>
      </c>
      <c r="Z6" s="6">
        <v>78360</v>
      </c>
      <c r="AA6" s="6">
        <v>78360</v>
      </c>
      <c r="AC6" s="6">
        <v>78360</v>
      </c>
      <c r="AD6" s="6">
        <v>78360</v>
      </c>
      <c r="AE6" s="6">
        <v>78360</v>
      </c>
      <c r="AG6" s="6">
        <v>78360</v>
      </c>
      <c r="AH6" s="6">
        <v>78360</v>
      </c>
      <c r="AI6" s="6">
        <v>78360</v>
      </c>
      <c r="AK6" s="26">
        <f>AI6*AK5*AI7</f>
        <v>344784</v>
      </c>
      <c r="AL6" s="7">
        <v>0</v>
      </c>
      <c r="AM6" s="7">
        <v>0</v>
      </c>
    </row>
    <row r="7" spans="2:39" x14ac:dyDescent="0.25">
      <c r="B7" s="10" t="s">
        <v>43</v>
      </c>
      <c r="C7" s="10"/>
      <c r="D7" s="10"/>
      <c r="E7" s="10">
        <v>0</v>
      </c>
      <c r="M7" s="1" t="s">
        <v>106</v>
      </c>
      <c r="P7" s="29">
        <v>0.93</v>
      </c>
      <c r="W7" s="20" t="s">
        <v>64</v>
      </c>
      <c r="X7" s="20"/>
      <c r="Y7" s="6">
        <f>$P$12</f>
        <v>0.88</v>
      </c>
      <c r="Z7" s="6">
        <f t="shared" ref="Z7:AA7" si="0">$P$12</f>
        <v>0.88</v>
      </c>
      <c r="AA7" s="6">
        <f t="shared" si="0"/>
        <v>0.88</v>
      </c>
      <c r="AC7" s="6">
        <f>$P$12</f>
        <v>0.88</v>
      </c>
      <c r="AD7" s="6">
        <f t="shared" ref="AD7:AE7" si="1">$P$12</f>
        <v>0.88</v>
      </c>
      <c r="AE7" s="6">
        <f t="shared" si="1"/>
        <v>0.88</v>
      </c>
      <c r="AG7" s="6">
        <f>$P$12</f>
        <v>0.88</v>
      </c>
      <c r="AH7" s="6">
        <f t="shared" ref="AH7:AI7" si="2">$P$12</f>
        <v>0.88</v>
      </c>
      <c r="AI7" s="6">
        <f t="shared" si="2"/>
        <v>0.88</v>
      </c>
      <c r="AM7" s="27">
        <f>SUM(AK6:AM6)</f>
        <v>344784</v>
      </c>
    </row>
    <row r="8" spans="2:39" x14ac:dyDescent="0.25">
      <c r="B8" s="12" t="s">
        <v>44</v>
      </c>
      <c r="C8" s="12"/>
      <c r="D8" s="12"/>
      <c r="E8" s="12">
        <v>340570</v>
      </c>
      <c r="F8" s="14" t="s">
        <v>51</v>
      </c>
      <c r="G8" s="13"/>
      <c r="H8" s="15"/>
      <c r="I8" s="16"/>
      <c r="J8" s="18"/>
      <c r="W8" s="20" t="s">
        <v>65</v>
      </c>
      <c r="X8" s="20"/>
      <c r="Y8" s="23">
        <f>(Y6*Y7)/1000</f>
        <v>68.956800000000001</v>
      </c>
      <c r="Z8" s="23">
        <f t="shared" ref="Z8:AA8" si="3">(Z6*Z7)/1000</f>
        <v>68.956800000000001</v>
      </c>
      <c r="AA8" s="23">
        <f t="shared" si="3"/>
        <v>68.956800000000001</v>
      </c>
      <c r="AC8" s="23">
        <f>(AC6*AC7)/1000</f>
        <v>68.956800000000001</v>
      </c>
      <c r="AD8" s="23">
        <f t="shared" ref="AD8" si="4">(AD6*AD7)/1000</f>
        <v>68.956800000000001</v>
      </c>
      <c r="AE8" s="23">
        <f t="shared" ref="AE8" si="5">(AE6*AE7)/1000</f>
        <v>68.956800000000001</v>
      </c>
      <c r="AG8" s="23">
        <f>(AG6*AG7)/1000</f>
        <v>68.956800000000001</v>
      </c>
      <c r="AH8" s="23">
        <f t="shared" ref="AH8" si="6">(AH6*AH7)/1000</f>
        <v>68.956800000000001</v>
      </c>
      <c r="AI8" s="23">
        <f t="shared" ref="AI8" si="7">(AI6*AI7)/1000</f>
        <v>68.956800000000001</v>
      </c>
    </row>
    <row r="9" spans="2:39" x14ac:dyDescent="0.25">
      <c r="B9" s="12" t="s">
        <v>45</v>
      </c>
      <c r="C9" s="12"/>
      <c r="D9" s="12"/>
      <c r="E9" s="12">
        <v>72665</v>
      </c>
      <c r="F9" s="137" t="s">
        <v>52</v>
      </c>
      <c r="G9" s="137"/>
      <c r="H9" s="137"/>
      <c r="I9" s="16"/>
      <c r="J9" s="18"/>
      <c r="M9" s="1" t="s">
        <v>95</v>
      </c>
      <c r="P9" s="8">
        <v>12</v>
      </c>
      <c r="W9" s="22" t="s">
        <v>66</v>
      </c>
      <c r="X9" s="22"/>
      <c r="Y9" s="24">
        <f>Y8*Y5</f>
        <v>68.956800000000001</v>
      </c>
      <c r="Z9" s="24">
        <f t="shared" ref="Z9" si="8">Z8*Z5</f>
        <v>137.9136</v>
      </c>
      <c r="AA9" s="24">
        <f>AA8*AA5</f>
        <v>206.87040000000002</v>
      </c>
      <c r="AC9" s="24">
        <f>AC8*AC5</f>
        <v>68.956800000000001</v>
      </c>
      <c r="AD9" s="24">
        <f t="shared" ref="AD9" si="9">AD8*AD5</f>
        <v>137.9136</v>
      </c>
      <c r="AE9" s="24">
        <f t="shared" ref="AE9" si="10">AE8*AE5</f>
        <v>206.87040000000002</v>
      </c>
      <c r="AG9" s="24">
        <f>AG8*AG5</f>
        <v>68.956800000000001</v>
      </c>
      <c r="AH9" s="24">
        <f t="shared" ref="AH9" si="11">AH8*AH5</f>
        <v>137.9136</v>
      </c>
      <c r="AI9" s="24">
        <f t="shared" ref="AI9" si="12">AI8*AI5</f>
        <v>206.87040000000002</v>
      </c>
    </row>
    <row r="10" spans="2:39" x14ac:dyDescent="0.25">
      <c r="B10" s="12" t="s">
        <v>46</v>
      </c>
      <c r="C10" s="12"/>
      <c r="D10" s="12"/>
      <c r="E10" s="12">
        <v>178634</v>
      </c>
      <c r="F10" s="137"/>
      <c r="G10" s="137"/>
      <c r="H10" s="137"/>
      <c r="I10" s="16"/>
      <c r="J10" s="18"/>
    </row>
    <row r="11" spans="2:39" x14ac:dyDescent="0.25">
      <c r="B11" s="12" t="s">
        <v>47</v>
      </c>
      <c r="C11" s="12"/>
      <c r="D11" s="12"/>
      <c r="E11" s="12">
        <v>104417</v>
      </c>
      <c r="F11" s="16"/>
      <c r="G11" s="16"/>
      <c r="H11" s="17" t="s">
        <v>53</v>
      </c>
      <c r="I11" s="16"/>
      <c r="J11" s="18"/>
      <c r="M11" s="1" t="s">
        <v>344</v>
      </c>
      <c r="P11" s="1" t="s">
        <v>345</v>
      </c>
    </row>
    <row r="12" spans="2:39" ht="17.25" x14ac:dyDescent="0.3">
      <c r="B12" s="12" t="s">
        <v>48</v>
      </c>
      <c r="C12" s="12"/>
      <c r="D12" s="12"/>
      <c r="E12" s="12">
        <v>2912</v>
      </c>
      <c r="F12" s="18"/>
      <c r="G12" s="19"/>
      <c r="H12" s="19"/>
      <c r="I12" s="138" t="s">
        <v>54</v>
      </c>
      <c r="J12" s="138"/>
      <c r="N12" t="s">
        <v>346</v>
      </c>
      <c r="P12" s="6">
        <v>0.88</v>
      </c>
      <c r="S12" s="25" t="s">
        <v>68</v>
      </c>
    </row>
    <row r="13" spans="2:39" x14ac:dyDescent="0.25">
      <c r="B13" s="12" t="s">
        <v>49</v>
      </c>
      <c r="C13" s="12"/>
      <c r="D13" s="12"/>
      <c r="E13" s="12">
        <v>40700</v>
      </c>
      <c r="F13" s="19"/>
      <c r="G13" s="19"/>
      <c r="H13" s="19"/>
      <c r="I13" s="138"/>
      <c r="J13" s="138"/>
      <c r="W13" s="20" t="s">
        <v>70</v>
      </c>
      <c r="Y13" s="6">
        <v>60</v>
      </c>
      <c r="Z13" s="6">
        <v>75</v>
      </c>
      <c r="AA13" s="6">
        <v>120</v>
      </c>
      <c r="AC13" s="6">
        <v>60</v>
      </c>
      <c r="AD13" s="6">
        <v>75</v>
      </c>
      <c r="AE13" s="6">
        <v>120</v>
      </c>
      <c r="AG13" s="6">
        <v>60</v>
      </c>
      <c r="AH13" s="6">
        <v>75</v>
      </c>
      <c r="AI13" s="6">
        <v>120</v>
      </c>
      <c r="AK13" t="s">
        <v>92</v>
      </c>
      <c r="AM13" s="8">
        <v>25000</v>
      </c>
    </row>
    <row r="14" spans="2:39" x14ac:dyDescent="0.25">
      <c r="B14" s="9" t="s">
        <v>50</v>
      </c>
      <c r="C14" s="9"/>
      <c r="D14" s="9"/>
      <c r="E14" s="9">
        <v>117150</v>
      </c>
      <c r="W14" s="20" t="s">
        <v>77</v>
      </c>
      <c r="Y14" s="23">
        <f>(Y13/60)/$P$7</f>
        <v>1.075268817204301</v>
      </c>
      <c r="Z14" s="23">
        <f t="shared" ref="Z14:AA14" si="13">(Z13/60)/$P$7</f>
        <v>1.3440860215053763</v>
      </c>
      <c r="AA14" s="23">
        <f t="shared" si="13"/>
        <v>2.150537634408602</v>
      </c>
      <c r="AC14" s="6">
        <f>AC13/60</f>
        <v>1</v>
      </c>
      <c r="AD14" s="6">
        <f>AD13/60</f>
        <v>1.25</v>
      </c>
      <c r="AE14" s="6">
        <f t="shared" ref="AE14" si="14">AE13/60</f>
        <v>2</v>
      </c>
      <c r="AG14" s="6">
        <f>AG13/60</f>
        <v>1</v>
      </c>
      <c r="AH14" s="6">
        <f t="shared" ref="AH14" si="15">AH13/60</f>
        <v>1.25</v>
      </c>
      <c r="AI14" s="6">
        <f t="shared" ref="AI14" si="16">AI13/60</f>
        <v>2</v>
      </c>
    </row>
    <row r="15" spans="2:39" x14ac:dyDescent="0.25">
      <c r="B15" t="s">
        <v>26</v>
      </c>
      <c r="E15">
        <v>750076</v>
      </c>
      <c r="I15" s="139" t="s">
        <v>58</v>
      </c>
      <c r="J15" s="139"/>
      <c r="W15" s="20" t="s">
        <v>71</v>
      </c>
      <c r="Y15" s="6">
        <v>12500</v>
      </c>
      <c r="Z15" s="6">
        <v>12500</v>
      </c>
      <c r="AA15" s="6">
        <v>12500</v>
      </c>
      <c r="AC15" s="6">
        <v>25000</v>
      </c>
      <c r="AD15" s="6">
        <v>25000</v>
      </c>
      <c r="AE15" s="6">
        <v>25000</v>
      </c>
      <c r="AG15" s="6">
        <v>37500</v>
      </c>
      <c r="AH15" s="6">
        <v>37500</v>
      </c>
      <c r="AI15" s="6">
        <v>37500</v>
      </c>
    </row>
    <row r="16" spans="2:39" x14ac:dyDescent="0.25">
      <c r="B16" t="s">
        <v>27</v>
      </c>
      <c r="E16">
        <v>564160</v>
      </c>
      <c r="W16" s="20" t="s">
        <v>72</v>
      </c>
      <c r="Y16" s="6">
        <f>$P$5</f>
        <v>4</v>
      </c>
      <c r="Z16" s="6">
        <f>$P$5</f>
        <v>4</v>
      </c>
      <c r="AA16" s="6">
        <f>$P$5</f>
        <v>4</v>
      </c>
      <c r="AC16" s="6">
        <f>$P$5</f>
        <v>4</v>
      </c>
      <c r="AD16" s="6">
        <f>$P$5</f>
        <v>4</v>
      </c>
      <c r="AE16" s="6">
        <f>$P$5</f>
        <v>4</v>
      </c>
      <c r="AG16" s="6">
        <f>$P$5</f>
        <v>4</v>
      </c>
      <c r="AH16" s="6">
        <f>$P$5</f>
        <v>4</v>
      </c>
      <c r="AI16" s="6">
        <f>$P$5</f>
        <v>4</v>
      </c>
    </row>
    <row r="17" spans="2:39" x14ac:dyDescent="0.25">
      <c r="B17" t="s">
        <v>28</v>
      </c>
      <c r="E17">
        <v>438377</v>
      </c>
      <c r="W17" s="20" t="s">
        <v>73</v>
      </c>
      <c r="Y17" s="6">
        <f>Y15/Y16</f>
        <v>3125</v>
      </c>
      <c r="Z17" s="6">
        <f t="shared" ref="Z17:AA17" si="17">Z15/Z16</f>
        <v>3125</v>
      </c>
      <c r="AA17" s="6">
        <f t="shared" si="17"/>
        <v>3125</v>
      </c>
      <c r="AC17" s="6">
        <f>AC15/AC16</f>
        <v>6250</v>
      </c>
      <c r="AD17" s="6">
        <f t="shared" ref="AD17" si="18">AD15/AD16</f>
        <v>6250</v>
      </c>
      <c r="AE17" s="6">
        <f t="shared" ref="AE17" si="19">AE15/AE16</f>
        <v>6250</v>
      </c>
      <c r="AG17" s="6">
        <f>AG15/AG16</f>
        <v>9375</v>
      </c>
      <c r="AH17" s="6">
        <f t="shared" ref="AH17" si="20">AH15/AH16</f>
        <v>9375</v>
      </c>
      <c r="AI17" s="6">
        <f t="shared" ref="AI17" si="21">AI15/AI16</f>
        <v>9375</v>
      </c>
    </row>
    <row r="18" spans="2:39" x14ac:dyDescent="0.25">
      <c r="B18" t="s">
        <v>29</v>
      </c>
      <c r="E18">
        <v>2135</v>
      </c>
      <c r="W18" s="20" t="s">
        <v>74</v>
      </c>
      <c r="Y18" s="6">
        <v>576</v>
      </c>
      <c r="Z18" s="6">
        <v>576</v>
      </c>
      <c r="AA18" s="6">
        <v>576</v>
      </c>
      <c r="AC18" s="6">
        <v>1068</v>
      </c>
      <c r="AD18" s="6">
        <v>1068</v>
      </c>
      <c r="AE18" s="6">
        <v>1068</v>
      </c>
      <c r="AG18" s="6">
        <v>1602</v>
      </c>
      <c r="AH18" s="6">
        <v>1602</v>
      </c>
      <c r="AI18" s="6">
        <v>1602</v>
      </c>
    </row>
    <row r="19" spans="2:39" x14ac:dyDescent="0.25">
      <c r="B19" t="s">
        <v>30</v>
      </c>
      <c r="E19">
        <v>27458</v>
      </c>
      <c r="W19" s="20" t="s">
        <v>75</v>
      </c>
      <c r="Y19" s="23">
        <f>Y17/Y18</f>
        <v>5.4253472222222223</v>
      </c>
      <c r="Z19" s="23">
        <f t="shared" ref="Z19:AA19" si="22">Z17/Z18</f>
        <v>5.4253472222222223</v>
      </c>
      <c r="AA19" s="23">
        <f t="shared" si="22"/>
        <v>5.4253472222222223</v>
      </c>
      <c r="AC19" s="23">
        <f>AC17/AC18</f>
        <v>5.8520599250936334</v>
      </c>
      <c r="AD19" s="23">
        <f t="shared" ref="AD19" si="23">AD17/AD18</f>
        <v>5.8520599250936334</v>
      </c>
      <c r="AE19" s="23">
        <f t="shared" ref="AE19" si="24">AE17/AE18</f>
        <v>5.8520599250936334</v>
      </c>
      <c r="AG19" s="23">
        <f>AG17/AG18</f>
        <v>5.8520599250936334</v>
      </c>
      <c r="AH19" s="23">
        <f t="shared" ref="AH19" si="25">AH17/AH18</f>
        <v>5.8520599250936334</v>
      </c>
      <c r="AI19" s="23">
        <f t="shared" ref="AI19" si="26">AI17/AI18</f>
        <v>5.8520599250936334</v>
      </c>
    </row>
    <row r="20" spans="2:39" x14ac:dyDescent="0.25">
      <c r="B20" t="s">
        <v>31</v>
      </c>
      <c r="E20">
        <v>100460</v>
      </c>
      <c r="W20" s="22" t="s">
        <v>76</v>
      </c>
      <c r="Y20" s="24">
        <f>Y19*Y14</f>
        <v>5.8337066905615291</v>
      </c>
      <c r="Z20" s="24">
        <f t="shared" ref="Z20:AA20" si="27">Z19*Z14</f>
        <v>7.292133363201911</v>
      </c>
      <c r="AA20" s="24">
        <f t="shared" si="27"/>
        <v>11.667413381123058</v>
      </c>
      <c r="AC20" s="24">
        <f>AC19*AC14</f>
        <v>5.8520599250936334</v>
      </c>
      <c r="AD20" s="24">
        <f t="shared" ref="AD20" si="28">AD19*AD14</f>
        <v>7.3150749063670419</v>
      </c>
      <c r="AE20" s="24">
        <f t="shared" ref="AE20" si="29">AE19*AE14</f>
        <v>11.704119850187267</v>
      </c>
      <c r="AG20" s="24">
        <f>AG19*AG14</f>
        <v>5.8520599250936334</v>
      </c>
      <c r="AH20" s="24">
        <f t="shared" ref="AH20" si="30">AH19*AH14</f>
        <v>7.3150749063670419</v>
      </c>
      <c r="AI20" s="24">
        <f t="shared" ref="AI20" si="31">AI19*AI14</f>
        <v>11.704119850187267</v>
      </c>
    </row>
    <row r="21" spans="2:39" x14ac:dyDescent="0.25">
      <c r="B21" t="s">
        <v>32</v>
      </c>
      <c r="E21">
        <v>2875</v>
      </c>
    </row>
    <row r="22" spans="2:39" x14ac:dyDescent="0.25">
      <c r="B22" t="s">
        <v>33</v>
      </c>
      <c r="E22">
        <v>0</v>
      </c>
      <c r="W22" s="20" t="s">
        <v>78</v>
      </c>
      <c r="Y22" s="6">
        <v>3500</v>
      </c>
      <c r="Z22" s="6">
        <v>3500</v>
      </c>
      <c r="AA22" s="6">
        <v>3500</v>
      </c>
      <c r="AC22" s="6">
        <v>3500</v>
      </c>
      <c r="AD22" s="6">
        <v>3500</v>
      </c>
      <c r="AE22" s="6">
        <v>3500</v>
      </c>
      <c r="AG22" s="6">
        <v>3500</v>
      </c>
      <c r="AH22" s="6">
        <v>3500</v>
      </c>
      <c r="AI22" s="6">
        <v>3500</v>
      </c>
      <c r="AK22" t="s">
        <v>89</v>
      </c>
      <c r="AM22" s="8">
        <v>14000</v>
      </c>
    </row>
    <row r="23" spans="2:39" x14ac:dyDescent="0.25">
      <c r="B23" t="s">
        <v>34</v>
      </c>
      <c r="E23">
        <v>103335</v>
      </c>
      <c r="W23" s="20" t="s">
        <v>74</v>
      </c>
      <c r="Y23" s="6">
        <v>576</v>
      </c>
      <c r="Z23" s="6">
        <v>576</v>
      </c>
      <c r="AA23" s="6">
        <v>576</v>
      </c>
      <c r="AC23" s="6">
        <v>1068</v>
      </c>
      <c r="AD23" s="6">
        <v>1068</v>
      </c>
      <c r="AE23" s="6">
        <v>1068</v>
      </c>
      <c r="AG23" s="6">
        <v>1602</v>
      </c>
      <c r="AH23" s="6">
        <v>1602</v>
      </c>
      <c r="AI23" s="6">
        <v>1602</v>
      </c>
    </row>
    <row r="24" spans="2:39" x14ac:dyDescent="0.25">
      <c r="B24" t="s">
        <v>35</v>
      </c>
      <c r="E24">
        <v>0</v>
      </c>
      <c r="W24" s="20" t="s">
        <v>79</v>
      </c>
      <c r="Y24" s="23">
        <f>Y22/Y23</f>
        <v>6.0763888888888893</v>
      </c>
      <c r="Z24" s="23">
        <f t="shared" ref="Z24:AA24" si="32">Z22/Z23</f>
        <v>6.0763888888888893</v>
      </c>
      <c r="AA24" s="23">
        <f t="shared" si="32"/>
        <v>6.0763888888888893</v>
      </c>
      <c r="AC24" s="23">
        <f>AC22/AC23</f>
        <v>3.2771535580524342</v>
      </c>
      <c r="AD24" s="23">
        <f t="shared" ref="AD24" si="33">AD22/AD23</f>
        <v>3.2771535580524342</v>
      </c>
      <c r="AE24" s="23">
        <f t="shared" ref="AE24" si="34">AE22/AE23</f>
        <v>3.2771535580524342</v>
      </c>
      <c r="AG24" s="23">
        <f>AG22/AG23</f>
        <v>2.184769038701623</v>
      </c>
      <c r="AH24" s="23">
        <f t="shared" ref="AH24" si="35">AH22/AH23</f>
        <v>2.184769038701623</v>
      </c>
      <c r="AI24" s="23">
        <f t="shared" ref="AI24" si="36">AI22/AI23</f>
        <v>2.184769038701623</v>
      </c>
    </row>
    <row r="25" spans="2:39" x14ac:dyDescent="0.25">
      <c r="B25" t="s">
        <v>36</v>
      </c>
      <c r="E25">
        <v>103335</v>
      </c>
      <c r="W25" s="22" t="s">
        <v>80</v>
      </c>
      <c r="Y25" s="24">
        <f>Y24*Y14</f>
        <v>6.5337514934289125</v>
      </c>
      <c r="Z25" s="24">
        <f t="shared" ref="Z25:AA25" si="37">Z24*Z14</f>
        <v>8.1671893667861415</v>
      </c>
      <c r="AA25" s="24">
        <f t="shared" si="37"/>
        <v>13.067502986857825</v>
      </c>
      <c r="AC25" s="24">
        <f>AC24*AC14</f>
        <v>3.2771535580524342</v>
      </c>
      <c r="AD25" s="24">
        <f t="shared" ref="AD25" si="38">AD24*AD14</f>
        <v>4.0964419475655429</v>
      </c>
      <c r="AE25" s="24">
        <f t="shared" ref="AE25" si="39">AE24*AE14</f>
        <v>6.5543071161048685</v>
      </c>
      <c r="AG25" s="24">
        <f>AG24*AG14</f>
        <v>2.184769038701623</v>
      </c>
      <c r="AH25" s="24">
        <f t="shared" ref="AH25" si="40">AH24*AH14</f>
        <v>2.7309612983770286</v>
      </c>
      <c r="AI25" s="24">
        <f t="shared" ref="AI25" si="41">AI24*AI14</f>
        <v>4.369538077403246</v>
      </c>
    </row>
    <row r="26" spans="2:39" x14ac:dyDescent="0.25">
      <c r="B26" t="s">
        <v>37</v>
      </c>
      <c r="E26">
        <v>2.5833750000000002</v>
      </c>
    </row>
    <row r="27" spans="2:39" x14ac:dyDescent="0.25">
      <c r="W27" s="20" t="s">
        <v>81</v>
      </c>
      <c r="Y27" s="23">
        <v>8</v>
      </c>
      <c r="Z27" s="23">
        <v>8</v>
      </c>
      <c r="AA27" s="23">
        <v>8</v>
      </c>
      <c r="AC27" s="23">
        <v>8</v>
      </c>
      <c r="AD27" s="23">
        <v>8</v>
      </c>
      <c r="AE27" s="23">
        <v>8</v>
      </c>
      <c r="AG27" s="23">
        <v>8</v>
      </c>
      <c r="AH27" s="23">
        <v>8</v>
      </c>
      <c r="AI27" s="23">
        <v>8</v>
      </c>
      <c r="AK27" t="s">
        <v>101</v>
      </c>
      <c r="AM27" s="6">
        <v>3855</v>
      </c>
    </row>
    <row r="28" spans="2:39" x14ac:dyDescent="0.25">
      <c r="B28" t="s">
        <v>38</v>
      </c>
      <c r="E28">
        <v>0</v>
      </c>
      <c r="W28" s="22" t="s">
        <v>82</v>
      </c>
      <c r="Y28" s="24">
        <f>Y27*Y14</f>
        <v>8.6021505376344081</v>
      </c>
      <c r="Z28" s="24">
        <f t="shared" ref="Z28:AA28" si="42">Z27*Z14</f>
        <v>10.75268817204301</v>
      </c>
      <c r="AA28" s="24">
        <f t="shared" si="42"/>
        <v>17.204301075268816</v>
      </c>
      <c r="AC28" s="24">
        <f>AC27*AC14</f>
        <v>8</v>
      </c>
      <c r="AD28" s="24">
        <f t="shared" ref="AD28" si="43">AD27*AD14</f>
        <v>10</v>
      </c>
      <c r="AE28" s="24">
        <f t="shared" ref="AE28" si="44">AE27*AE14</f>
        <v>16</v>
      </c>
      <c r="AG28" s="24">
        <f>AG27*AG14</f>
        <v>8</v>
      </c>
      <c r="AH28" s="24">
        <f t="shared" ref="AH28" si="45">AH27*AH14</f>
        <v>10</v>
      </c>
      <c r="AI28" s="24">
        <f t="shared" ref="AI28" si="46">AI27*AI14</f>
        <v>16</v>
      </c>
      <c r="AK28" s="1" t="s">
        <v>90</v>
      </c>
      <c r="AM28" s="8">
        <f>AM27*AI27</f>
        <v>30840</v>
      </c>
    </row>
    <row r="29" spans="2:39" x14ac:dyDescent="0.25">
      <c r="B29" t="s">
        <v>39</v>
      </c>
      <c r="E29">
        <v>103335</v>
      </c>
    </row>
    <row r="30" spans="2:39" x14ac:dyDescent="0.25">
      <c r="B30" t="s">
        <v>40</v>
      </c>
      <c r="E30">
        <v>-147251</v>
      </c>
      <c r="W30" s="22" t="s">
        <v>83</v>
      </c>
      <c r="Y30" s="24">
        <v>1</v>
      </c>
      <c r="Z30" s="24">
        <v>1</v>
      </c>
      <c r="AA30" s="24">
        <v>1</v>
      </c>
      <c r="AC30" s="24">
        <v>1</v>
      </c>
      <c r="AD30" s="24">
        <v>1</v>
      </c>
      <c r="AE30" s="24">
        <v>1</v>
      </c>
      <c r="AG30" s="24">
        <v>1</v>
      </c>
      <c r="AH30" s="24">
        <v>1</v>
      </c>
      <c r="AI30" s="24">
        <v>1</v>
      </c>
      <c r="AK30" t="s">
        <v>91</v>
      </c>
      <c r="AM30" s="8">
        <v>2825</v>
      </c>
    </row>
    <row r="31" spans="2:39" x14ac:dyDescent="0.25">
      <c r="B31" t="s">
        <v>41</v>
      </c>
      <c r="E31">
        <v>-43916</v>
      </c>
    </row>
    <row r="32" spans="2:39" x14ac:dyDescent="0.25">
      <c r="W32" s="22" t="s">
        <v>84</v>
      </c>
      <c r="Y32" s="24">
        <f>Y20+Y25+Y28+Y30</f>
        <v>21.969608721624851</v>
      </c>
      <c r="Z32" s="24">
        <f t="shared" ref="Z32:AA32" si="47">Z20+Z25+Z28+Z30</f>
        <v>27.212010902031061</v>
      </c>
      <c r="AA32" s="24">
        <f t="shared" si="47"/>
        <v>42.939217443249703</v>
      </c>
      <c r="AC32" s="24">
        <f>AC20+AC25+AC28+AC30</f>
        <v>18.129213483146067</v>
      </c>
      <c r="AD32" s="24">
        <f t="shared" ref="AD32:AE32" si="48">AD20+AD25+AD28+AD30</f>
        <v>22.411516853932586</v>
      </c>
      <c r="AE32" s="24">
        <f t="shared" si="48"/>
        <v>35.258426966292134</v>
      </c>
      <c r="AG32" s="24">
        <f>AG20+AG25+AG28+AG30</f>
        <v>17.036828963795259</v>
      </c>
      <c r="AH32" s="24">
        <f t="shared" ref="AH32:AI32" si="49">AH20+AH25+AH28+AH30</f>
        <v>21.04603620474407</v>
      </c>
      <c r="AI32" s="24">
        <f t="shared" si="49"/>
        <v>33.073657927590517</v>
      </c>
      <c r="AK32" s="1" t="s">
        <v>93</v>
      </c>
      <c r="AM32" s="28">
        <f>AM13+AM22+AM28+AM30</f>
        <v>72665</v>
      </c>
    </row>
    <row r="34" spans="19:43" ht="17.25" x14ac:dyDescent="0.3">
      <c r="S34" s="25" t="s">
        <v>94</v>
      </c>
    </row>
    <row r="35" spans="19:43" x14ac:dyDescent="0.25">
      <c r="W35" s="20" t="s">
        <v>95</v>
      </c>
      <c r="Y35" s="6">
        <f>$P$9</f>
        <v>12</v>
      </c>
      <c r="Z35" s="6">
        <f t="shared" ref="Z35:AA35" si="50">$P$9</f>
        <v>12</v>
      </c>
      <c r="AA35" s="6">
        <f t="shared" si="50"/>
        <v>12</v>
      </c>
      <c r="AC35" s="6">
        <f>$P$9</f>
        <v>12</v>
      </c>
      <c r="AD35" s="6">
        <f t="shared" ref="AD35:AE35" si="51">$P$9</f>
        <v>12</v>
      </c>
      <c r="AE35" s="6">
        <f t="shared" si="51"/>
        <v>12</v>
      </c>
      <c r="AG35" s="6">
        <f>$P$9</f>
        <v>12</v>
      </c>
      <c r="AH35" s="6">
        <f t="shared" ref="AH35:AI35" si="52">$P$9</f>
        <v>12</v>
      </c>
      <c r="AI35" s="6">
        <f t="shared" si="52"/>
        <v>12</v>
      </c>
      <c r="AK35" t="s">
        <v>102</v>
      </c>
      <c r="AM35">
        <v>3911</v>
      </c>
    </row>
    <row r="36" spans="19:43" x14ac:dyDescent="0.25">
      <c r="W36" s="20" t="s">
        <v>97</v>
      </c>
      <c r="Y36" s="6">
        <f>Y35*0.65</f>
        <v>7.8000000000000007</v>
      </c>
      <c r="Z36" s="6">
        <f t="shared" ref="Z36:AA36" si="53">Z35*0.65</f>
        <v>7.8000000000000007</v>
      </c>
      <c r="AA36" s="6">
        <f t="shared" si="53"/>
        <v>7.8000000000000007</v>
      </c>
      <c r="AC36" s="6">
        <f>AC35*0.65</f>
        <v>7.8000000000000007</v>
      </c>
      <c r="AD36" s="6">
        <f t="shared" ref="AD36" si="54">AD35*0.65</f>
        <v>7.8000000000000007</v>
      </c>
      <c r="AE36" s="6">
        <f t="shared" ref="AE36" si="55">AE35*0.65</f>
        <v>7.8000000000000007</v>
      </c>
      <c r="AG36" s="6">
        <f>AG35*0.65</f>
        <v>7.8000000000000007</v>
      </c>
      <c r="AH36" s="6">
        <f t="shared" ref="AH36" si="56">AH35*0.65</f>
        <v>7.8000000000000007</v>
      </c>
      <c r="AI36" s="6">
        <f t="shared" ref="AI36" si="57">AI35*0.65</f>
        <v>7.8000000000000007</v>
      </c>
    </row>
    <row r="37" spans="19:43" x14ac:dyDescent="0.25">
      <c r="W37" s="20" t="s">
        <v>96</v>
      </c>
      <c r="Y37" s="6">
        <v>4</v>
      </c>
      <c r="Z37" s="6">
        <v>4</v>
      </c>
      <c r="AA37" s="6">
        <v>4</v>
      </c>
      <c r="AC37" s="6">
        <v>4</v>
      </c>
      <c r="AD37" s="6">
        <v>4</v>
      </c>
      <c r="AE37" s="6">
        <v>4</v>
      </c>
      <c r="AG37" s="6">
        <v>4</v>
      </c>
      <c r="AH37" s="6">
        <v>4</v>
      </c>
      <c r="AI37" s="6">
        <v>4</v>
      </c>
      <c r="AK37" s="5" t="s">
        <v>103</v>
      </c>
      <c r="AL37" s="5" t="s">
        <v>104</v>
      </c>
      <c r="AM37" s="5" t="s">
        <v>105</v>
      </c>
    </row>
    <row r="38" spans="19:43" x14ac:dyDescent="0.25">
      <c r="W38" s="20" t="s">
        <v>97</v>
      </c>
      <c r="Y38" s="6">
        <f>Y37*Y36*Y14</f>
        <v>33.548387096774192</v>
      </c>
      <c r="Z38" s="6">
        <f t="shared" ref="Z38:AA38" si="58">Z37*Z36*Z14</f>
        <v>41.935483870967744</v>
      </c>
      <c r="AA38" s="6">
        <f t="shared" si="58"/>
        <v>67.096774193548384</v>
      </c>
      <c r="AC38" s="6">
        <f>AC37*AC36*AC14</f>
        <v>31.200000000000003</v>
      </c>
      <c r="AD38" s="6">
        <f t="shared" ref="AD38" si="59">AD37*AD36*AD14</f>
        <v>39</v>
      </c>
      <c r="AE38" s="6">
        <f t="shared" ref="AE38" si="60">AE37*AE36*AE14</f>
        <v>62.400000000000006</v>
      </c>
      <c r="AG38" s="6">
        <f>AG37*AG36*AG14</f>
        <v>31.200000000000003</v>
      </c>
      <c r="AH38" s="6">
        <f t="shared" ref="AH38" si="61">AH37*AH36*AH14</f>
        <v>39</v>
      </c>
      <c r="AI38" s="6">
        <f t="shared" ref="AI38" si="62">AI37*AI36*AI14</f>
        <v>62.400000000000006</v>
      </c>
      <c r="AK38" s="6">
        <v>3360</v>
      </c>
      <c r="AL38" s="6">
        <v>336</v>
      </c>
      <c r="AM38" s="6">
        <v>215</v>
      </c>
    </row>
    <row r="39" spans="19:43" x14ac:dyDescent="0.25">
      <c r="W39" s="20" t="s">
        <v>98</v>
      </c>
      <c r="Y39" s="23">
        <v>0</v>
      </c>
      <c r="Z39" s="23">
        <v>0</v>
      </c>
      <c r="AA39" s="23">
        <v>0</v>
      </c>
      <c r="AC39" s="23">
        <v>0.33</v>
      </c>
      <c r="AD39" s="23">
        <v>0.33</v>
      </c>
      <c r="AE39" s="23">
        <v>0.33</v>
      </c>
      <c r="AG39" s="23">
        <v>0.67</v>
      </c>
      <c r="AH39" s="23">
        <v>0.67</v>
      </c>
      <c r="AI39" s="23">
        <v>0.67</v>
      </c>
      <c r="AK39" s="6">
        <f>AI36</f>
        <v>7.8000000000000007</v>
      </c>
      <c r="AL39" s="6">
        <f>AK39*1.5</f>
        <v>11.700000000000001</v>
      </c>
      <c r="AM39" s="6">
        <f>AK39*2</f>
        <v>15.600000000000001</v>
      </c>
    </row>
    <row r="40" spans="19:43" x14ac:dyDescent="0.25">
      <c r="W40" s="20" t="s">
        <v>99</v>
      </c>
      <c r="Y40" s="23">
        <f>Y39*Y38</f>
        <v>0</v>
      </c>
      <c r="Z40" s="23">
        <f t="shared" ref="Z40:AA40" si="63">Z39*Z38</f>
        <v>0</v>
      </c>
      <c r="AA40" s="23">
        <f t="shared" si="63"/>
        <v>0</v>
      </c>
      <c r="AC40" s="23">
        <f>AC39*AC38</f>
        <v>10.296000000000001</v>
      </c>
      <c r="AD40" s="23">
        <f t="shared" ref="AD40:AE40" si="64">AD39*AD38</f>
        <v>12.870000000000001</v>
      </c>
      <c r="AE40" s="23">
        <f t="shared" si="64"/>
        <v>20.592000000000002</v>
      </c>
      <c r="AG40" s="23">
        <f>AG39*AG38</f>
        <v>20.904000000000003</v>
      </c>
      <c r="AH40" s="23">
        <f t="shared" ref="AH40:AI40" si="65">AH39*AH38</f>
        <v>26.130000000000003</v>
      </c>
      <c r="AI40" s="23">
        <f t="shared" si="65"/>
        <v>41.808000000000007</v>
      </c>
      <c r="AK40" s="8">
        <f>AK39*AK38*4</f>
        <v>104832.00000000001</v>
      </c>
      <c r="AL40" s="8">
        <f t="shared" ref="AL40:AM40" si="66">AL39*AL38*4</f>
        <v>15724.800000000001</v>
      </c>
      <c r="AM40" s="8">
        <f t="shared" si="66"/>
        <v>13416.000000000002</v>
      </c>
    </row>
    <row r="41" spans="19:43" x14ac:dyDescent="0.25">
      <c r="W41" s="22" t="s">
        <v>100</v>
      </c>
      <c r="Y41" s="24">
        <f>Y38+Y40</f>
        <v>33.548387096774192</v>
      </c>
      <c r="Z41" s="24">
        <f t="shared" ref="Z41:AA41" si="67">Z38+Z40</f>
        <v>41.935483870967744</v>
      </c>
      <c r="AA41" s="24">
        <f t="shared" si="67"/>
        <v>67.096774193548384</v>
      </c>
      <c r="AC41" s="24">
        <f>AC40+AC38</f>
        <v>41.496000000000002</v>
      </c>
      <c r="AD41" s="24">
        <f t="shared" ref="AD41:AE41" si="68">AD40+AD38</f>
        <v>51.870000000000005</v>
      </c>
      <c r="AE41" s="24">
        <f t="shared" si="68"/>
        <v>82.992000000000004</v>
      </c>
      <c r="AG41" s="24">
        <f>AG40+AG38</f>
        <v>52.104000000000006</v>
      </c>
      <c r="AH41" s="24">
        <f t="shared" ref="AH41:AI41" si="69">AH40+AH38</f>
        <v>65.13</v>
      </c>
      <c r="AI41" s="24">
        <f t="shared" si="69"/>
        <v>104.20800000000001</v>
      </c>
      <c r="AK41" s="6">
        <v>0.33</v>
      </c>
      <c r="AL41" s="6">
        <v>0.33</v>
      </c>
      <c r="AM41" s="6">
        <v>0.33</v>
      </c>
    </row>
    <row r="42" spans="19:43" x14ac:dyDescent="0.25">
      <c r="AK42" s="6">
        <f>AK41*AK40</f>
        <v>34594.560000000005</v>
      </c>
      <c r="AL42" s="6">
        <f t="shared" ref="AL42:AM42" si="70">AL41*AL40</f>
        <v>5189.1840000000002</v>
      </c>
      <c r="AM42" s="6">
        <f t="shared" si="70"/>
        <v>4427.2800000000007</v>
      </c>
    </row>
    <row r="43" spans="19:43" x14ac:dyDescent="0.25">
      <c r="AK43" s="24">
        <f>AK40+AK42</f>
        <v>139426.56000000003</v>
      </c>
      <c r="AL43" s="24">
        <f t="shared" ref="AL43:AM43" si="71">AL40+AL42</f>
        <v>20913.984</v>
      </c>
      <c r="AM43" s="24">
        <f t="shared" si="71"/>
        <v>17843.280000000002</v>
      </c>
    </row>
    <row r="44" spans="19:43" ht="17.25" x14ac:dyDescent="0.3">
      <c r="S44" s="25" t="s">
        <v>109</v>
      </c>
      <c r="Y44" s="24">
        <f>Y41+Y32+Y9</f>
        <v>124.47479581839904</v>
      </c>
      <c r="Z44" s="24">
        <f t="shared" ref="Z44:AA44" si="72">Z41+Z32+Z9</f>
        <v>207.06109477299881</v>
      </c>
      <c r="AA44" s="24">
        <f t="shared" si="72"/>
        <v>316.90639163679811</v>
      </c>
      <c r="AC44" s="24">
        <f>AC41+AC32+AC9</f>
        <v>128.58201348314606</v>
      </c>
      <c r="AD44" s="24">
        <f t="shared" ref="AD44:AE44" si="73">AD41+AD32+AD9</f>
        <v>212.19511685393257</v>
      </c>
      <c r="AE44" s="24">
        <f t="shared" si="73"/>
        <v>325.12082696629216</v>
      </c>
      <c r="AG44" s="24">
        <f>AG41+AG32+AG9</f>
        <v>138.09762896379527</v>
      </c>
      <c r="AH44" s="24">
        <f t="shared" ref="AH44:AI44" si="74">AH41+AH32+AH9</f>
        <v>224.08963620474407</v>
      </c>
      <c r="AI44" s="24">
        <f t="shared" si="74"/>
        <v>344.15205792759053</v>
      </c>
      <c r="AM44" s="30">
        <f>SUM(AK43:AM43)</f>
        <v>178183.82400000002</v>
      </c>
    </row>
    <row r="45" spans="19:43" x14ac:dyDescent="0.25">
      <c r="AN45" t="s">
        <v>107</v>
      </c>
      <c r="AQ45" s="6">
        <v>32</v>
      </c>
    </row>
    <row r="46" spans="19:43" ht="17.25" x14ac:dyDescent="0.3">
      <c r="S46" s="25" t="s">
        <v>110</v>
      </c>
      <c r="Y46" s="24">
        <v>128</v>
      </c>
      <c r="Z46" s="24">
        <v>211</v>
      </c>
      <c r="AA46" s="24">
        <v>324</v>
      </c>
      <c r="AC46" s="24">
        <v>128</v>
      </c>
      <c r="AD46" s="24">
        <v>211</v>
      </c>
      <c r="AE46" s="24">
        <v>324</v>
      </c>
      <c r="AG46" s="24">
        <v>128</v>
      </c>
      <c r="AH46" s="24">
        <v>211</v>
      </c>
      <c r="AI46" s="24">
        <v>324</v>
      </c>
    </row>
    <row r="47" spans="19:43" x14ac:dyDescent="0.25">
      <c r="AN47" s="1" t="s">
        <v>108</v>
      </c>
      <c r="AQ47" s="24">
        <f>(AM44/AQ45)/12</f>
        <v>464.02037500000006</v>
      </c>
    </row>
    <row r="49" spans="19:43" ht="17.25" x14ac:dyDescent="0.3">
      <c r="S49" s="25" t="s">
        <v>111</v>
      </c>
    </row>
    <row r="50" spans="19:43" x14ac:dyDescent="0.25">
      <c r="W50" s="20" t="s">
        <v>95</v>
      </c>
      <c r="Y50" s="6">
        <f>$P$9</f>
        <v>12</v>
      </c>
      <c r="Z50" s="6">
        <f t="shared" ref="Z50:AA50" si="75">$P$9</f>
        <v>12</v>
      </c>
      <c r="AA50" s="6">
        <f t="shared" si="75"/>
        <v>12</v>
      </c>
      <c r="AC50" s="6">
        <f>$P$9</f>
        <v>12</v>
      </c>
      <c r="AD50" s="6">
        <f t="shared" ref="AD50:AE50" si="76">$P$9</f>
        <v>12</v>
      </c>
      <c r="AE50" s="6">
        <f t="shared" si="76"/>
        <v>12</v>
      </c>
      <c r="AG50" s="6">
        <f>$P$9</f>
        <v>12</v>
      </c>
      <c r="AH50" s="6">
        <f t="shared" ref="AH50:AI50" si="77">$P$9</f>
        <v>12</v>
      </c>
      <c r="AI50" s="6">
        <f t="shared" si="77"/>
        <v>12</v>
      </c>
      <c r="AK50" t="s">
        <v>115</v>
      </c>
      <c r="AM50" s="6">
        <v>12000</v>
      </c>
    </row>
    <row r="51" spans="19:43" x14ac:dyDescent="0.25">
      <c r="W51" s="20" t="s">
        <v>112</v>
      </c>
      <c r="Y51" s="6">
        <v>115</v>
      </c>
      <c r="Z51" s="6">
        <v>165</v>
      </c>
      <c r="AA51" s="6">
        <v>325</v>
      </c>
      <c r="AC51" s="6">
        <v>115</v>
      </c>
      <c r="AD51" s="6">
        <v>165</v>
      </c>
      <c r="AE51" s="6">
        <v>325</v>
      </c>
      <c r="AG51" s="6">
        <v>115</v>
      </c>
      <c r="AH51" s="6">
        <v>165</v>
      </c>
      <c r="AI51" s="6">
        <v>325</v>
      </c>
    </row>
    <row r="52" spans="19:43" x14ac:dyDescent="0.25">
      <c r="W52" s="20" t="s">
        <v>113</v>
      </c>
      <c r="Y52" s="23">
        <f>Y51/60</f>
        <v>1.9166666666666667</v>
      </c>
      <c r="Z52" s="23">
        <f t="shared" ref="Z52:AA52" si="78">Z51/60</f>
        <v>2.75</v>
      </c>
      <c r="AA52" s="23">
        <f t="shared" si="78"/>
        <v>5.416666666666667</v>
      </c>
      <c r="AC52" s="23">
        <f>AC51/60</f>
        <v>1.9166666666666667</v>
      </c>
      <c r="AD52" s="23">
        <f t="shared" ref="AD52" si="79">AD51/60</f>
        <v>2.75</v>
      </c>
      <c r="AE52" s="23">
        <f t="shared" ref="AE52" si="80">AE51/60</f>
        <v>5.416666666666667</v>
      </c>
      <c r="AG52" s="23">
        <f>AG51/60</f>
        <v>1.9166666666666667</v>
      </c>
      <c r="AH52" s="23">
        <f t="shared" ref="AH52" si="81">AH51/60</f>
        <v>2.75</v>
      </c>
      <c r="AI52" s="23">
        <f t="shared" ref="AI52" si="82">AI51/60</f>
        <v>5.416666666666667</v>
      </c>
      <c r="AK52" s="5" t="s">
        <v>103</v>
      </c>
      <c r="AL52" s="5" t="s">
        <v>104</v>
      </c>
      <c r="AM52" s="5" t="s">
        <v>105</v>
      </c>
    </row>
    <row r="53" spans="19:43" x14ac:dyDescent="0.25">
      <c r="W53" s="22" t="s">
        <v>100</v>
      </c>
      <c r="Y53" s="24">
        <f>Y52*Y50</f>
        <v>23</v>
      </c>
      <c r="Z53" s="24">
        <f t="shared" ref="Z53:AA53" si="83">Z52*Z50</f>
        <v>33</v>
      </c>
      <c r="AA53" s="24">
        <f t="shared" si="83"/>
        <v>65</v>
      </c>
      <c r="AC53" s="24">
        <f>AC52*AC50</f>
        <v>23</v>
      </c>
      <c r="AD53" s="24">
        <f t="shared" ref="AD53" si="84">AD52*AD50</f>
        <v>33</v>
      </c>
      <c r="AE53" s="24">
        <f t="shared" ref="AE53" si="85">AE52*AE50</f>
        <v>65</v>
      </c>
      <c r="AG53" s="24">
        <f>AG52*AG50</f>
        <v>23</v>
      </c>
      <c r="AH53" s="24">
        <f t="shared" ref="AH53" si="86">AH52*AH50</f>
        <v>33</v>
      </c>
      <c r="AI53" s="24">
        <f t="shared" ref="AI53" si="87">AI52*AI50</f>
        <v>65</v>
      </c>
      <c r="AK53" s="6">
        <v>9660</v>
      </c>
      <c r="AL53" s="6">
        <v>1932</v>
      </c>
      <c r="AM53" s="6">
        <v>408</v>
      </c>
    </row>
    <row r="54" spans="19:43" x14ac:dyDescent="0.25">
      <c r="AK54" s="6">
        <f>AI50</f>
        <v>12</v>
      </c>
      <c r="AL54" s="6">
        <f>AK54*1.5</f>
        <v>18</v>
      </c>
      <c r="AM54" s="6">
        <f>AK54*2</f>
        <v>24</v>
      </c>
    </row>
    <row r="55" spans="19:43" ht="17.25" x14ac:dyDescent="0.3">
      <c r="S55" s="25" t="s">
        <v>114</v>
      </c>
      <c r="Y55" s="23">
        <v>1</v>
      </c>
      <c r="Z55" s="23">
        <v>1</v>
      </c>
      <c r="AA55" s="23">
        <v>1</v>
      </c>
      <c r="AC55" s="23">
        <v>1</v>
      </c>
      <c r="AD55" s="23">
        <v>1</v>
      </c>
      <c r="AE55" s="23">
        <v>1</v>
      </c>
      <c r="AG55" s="23">
        <v>1</v>
      </c>
      <c r="AH55" s="23">
        <v>1</v>
      </c>
      <c r="AI55" s="23">
        <v>1</v>
      </c>
      <c r="AK55" s="8">
        <f>AK54*AK53</f>
        <v>115920</v>
      </c>
      <c r="AL55" s="8">
        <f t="shared" ref="AL55:AM55" si="88">AL54*AL53</f>
        <v>34776</v>
      </c>
      <c r="AM55" s="8">
        <f t="shared" si="88"/>
        <v>9792</v>
      </c>
    </row>
    <row r="56" spans="19:43" x14ac:dyDescent="0.25">
      <c r="AM56" s="30">
        <f>SUM(AK55:AM55)</f>
        <v>160488</v>
      </c>
    </row>
    <row r="57" spans="19:43" ht="17.25" x14ac:dyDescent="0.3">
      <c r="S57" s="25" t="s">
        <v>118</v>
      </c>
      <c r="AN57" t="s">
        <v>116</v>
      </c>
      <c r="AQ57" s="6">
        <v>23</v>
      </c>
    </row>
    <row r="58" spans="19:43" x14ac:dyDescent="0.25">
      <c r="W58" s="20" t="s">
        <v>9</v>
      </c>
      <c r="Y58" s="6">
        <v>5.2</v>
      </c>
      <c r="Z58" s="6">
        <v>10.4</v>
      </c>
      <c r="AA58" s="6">
        <v>20.8</v>
      </c>
      <c r="AC58" s="6">
        <v>5.2</v>
      </c>
      <c r="AD58" s="6">
        <v>10.4</v>
      </c>
      <c r="AE58" s="6">
        <v>20.8</v>
      </c>
      <c r="AG58" s="6">
        <v>5.2</v>
      </c>
      <c r="AH58" s="6">
        <v>10.4</v>
      </c>
      <c r="AI58" s="6">
        <v>20.8</v>
      </c>
    </row>
    <row r="59" spans="19:43" x14ac:dyDescent="0.25">
      <c r="W59" s="20" t="s">
        <v>10</v>
      </c>
      <c r="Y59" s="6">
        <v>18.600000000000001</v>
      </c>
      <c r="Z59" s="6">
        <v>37.200000000000003</v>
      </c>
      <c r="AA59" s="6">
        <v>74.400000000000006</v>
      </c>
      <c r="AC59" s="6">
        <v>18.600000000000001</v>
      </c>
      <c r="AD59" s="6">
        <v>37.200000000000003</v>
      </c>
      <c r="AE59" s="6">
        <v>74.400000000000006</v>
      </c>
      <c r="AG59" s="6">
        <v>18.600000000000001</v>
      </c>
      <c r="AH59" s="6">
        <v>37.200000000000003</v>
      </c>
      <c r="AI59" s="6">
        <v>74.400000000000006</v>
      </c>
      <c r="AN59" s="1" t="s">
        <v>117</v>
      </c>
      <c r="AQ59" s="24">
        <f>(AM56/AQ57)/12</f>
        <v>581.47826086956525</v>
      </c>
    </row>
    <row r="60" spans="19:43" x14ac:dyDescent="0.25">
      <c r="W60" s="20" t="s">
        <v>11</v>
      </c>
      <c r="Y60" s="6">
        <v>1.3</v>
      </c>
      <c r="Z60" s="6">
        <v>2.6</v>
      </c>
      <c r="AA60" s="6">
        <v>5.2</v>
      </c>
      <c r="AC60" s="6">
        <v>1.3</v>
      </c>
      <c r="AD60" s="6">
        <v>2.6</v>
      </c>
      <c r="AE60" s="6">
        <v>5.2</v>
      </c>
      <c r="AG60" s="6">
        <v>1.3</v>
      </c>
      <c r="AH60" s="6">
        <v>2.6</v>
      </c>
      <c r="AI60" s="6">
        <v>5.2</v>
      </c>
    </row>
    <row r="63" spans="19:43" ht="17.25" x14ac:dyDescent="0.3">
      <c r="S63" s="25" t="s">
        <v>119</v>
      </c>
    </row>
    <row r="64" spans="19:43" x14ac:dyDescent="0.25">
      <c r="W64" s="22" t="s">
        <v>9</v>
      </c>
      <c r="Y64" s="24">
        <f>Y58+Y$55+Y$53+Y$44</f>
        <v>153.67479581839905</v>
      </c>
      <c r="Z64" s="24">
        <f t="shared" ref="Z64:AA64" si="89">Z58+Z$55+Z$53+Z$44</f>
        <v>251.46109477299882</v>
      </c>
      <c r="AA64" s="24">
        <f t="shared" si="89"/>
        <v>403.70639163679812</v>
      </c>
      <c r="AC64" s="24">
        <f>AC58+AC$55+AC$53+AC$44</f>
        <v>157.78201348314605</v>
      </c>
      <c r="AD64" s="24">
        <f t="shared" ref="AD64:AE64" si="90">AD58+AD$55+AD$53+AD$44</f>
        <v>256.59511685393255</v>
      </c>
      <c r="AE64" s="24">
        <f t="shared" si="90"/>
        <v>411.92082696629217</v>
      </c>
      <c r="AG64" s="24">
        <f>AG58+AG$55+AG$53+AG$44</f>
        <v>167.29762896379526</v>
      </c>
      <c r="AH64" s="24">
        <f t="shared" ref="AH64:AI64" si="91">AH58+AH$55+AH$53+AH$44</f>
        <v>268.48963620474404</v>
      </c>
      <c r="AI64" s="24">
        <f t="shared" si="91"/>
        <v>430.95205792759054</v>
      </c>
    </row>
    <row r="65" spans="19:43" x14ac:dyDescent="0.25">
      <c r="W65" s="22" t="s">
        <v>10</v>
      </c>
      <c r="Y65" s="24">
        <f t="shared" ref="Y65:AA65" si="92">Y59+Y$55+Y$53+Y$44</f>
        <v>167.07479581839905</v>
      </c>
      <c r="Z65" s="24">
        <f t="shared" si="92"/>
        <v>278.26109477299883</v>
      </c>
      <c r="AA65" s="24">
        <f t="shared" si="92"/>
        <v>457.30639163679814</v>
      </c>
      <c r="AC65" s="24">
        <f t="shared" ref="AC65:AE65" si="93">AC59+AC$55+AC$53+AC$44</f>
        <v>171.18201348314605</v>
      </c>
      <c r="AD65" s="24">
        <f t="shared" si="93"/>
        <v>283.39511685393256</v>
      </c>
      <c r="AE65" s="24">
        <f t="shared" si="93"/>
        <v>465.52082696629213</v>
      </c>
      <c r="AG65" s="24">
        <f t="shared" ref="AG65:AI65" si="94">AG59+AG$55+AG$53+AG$44</f>
        <v>180.69762896379527</v>
      </c>
      <c r="AH65" s="24">
        <f t="shared" si="94"/>
        <v>295.28963620474406</v>
      </c>
      <c r="AI65" s="24">
        <f t="shared" si="94"/>
        <v>484.55205792759057</v>
      </c>
    </row>
    <row r="66" spans="19:43" x14ac:dyDescent="0.25">
      <c r="W66" s="22" t="s">
        <v>11</v>
      </c>
      <c r="Y66" s="24">
        <f t="shared" ref="Y66:AA66" si="95">Y60+Y$55+Y$53+Y$44</f>
        <v>149.77479581839904</v>
      </c>
      <c r="Z66" s="24">
        <f t="shared" si="95"/>
        <v>243.66109477299881</v>
      </c>
      <c r="AA66" s="24">
        <f t="shared" si="95"/>
        <v>388.10639163679809</v>
      </c>
      <c r="AC66" s="24">
        <f t="shared" ref="AC66:AE66" si="96">AC60+AC$55+AC$53+AC$44</f>
        <v>153.88201348314607</v>
      </c>
      <c r="AD66" s="24">
        <f t="shared" si="96"/>
        <v>248.79511685393257</v>
      </c>
      <c r="AE66" s="24">
        <f t="shared" si="96"/>
        <v>396.32082696629215</v>
      </c>
      <c r="AG66" s="24">
        <f t="shared" ref="AG66:AI66" si="97">AG60+AG$55+AG$53+AG$44</f>
        <v>163.39762896379528</v>
      </c>
      <c r="AH66" s="24">
        <f t="shared" si="97"/>
        <v>260.68963620474409</v>
      </c>
      <c r="AI66" s="24">
        <f t="shared" si="97"/>
        <v>415.35205792759052</v>
      </c>
    </row>
    <row r="69" spans="19:43" ht="17.25" x14ac:dyDescent="0.3">
      <c r="S69" s="25" t="s">
        <v>120</v>
      </c>
      <c r="Y69" s="31">
        <v>438377</v>
      </c>
    </row>
    <row r="71" spans="19:43" x14ac:dyDescent="0.25">
      <c r="T71" s="1" t="s">
        <v>121</v>
      </c>
      <c r="W71" s="22" t="s">
        <v>9</v>
      </c>
      <c r="Y71" s="8">
        <v>1000</v>
      </c>
      <c r="Z71" s="8">
        <v>625</v>
      </c>
      <c r="AA71" s="8">
        <v>325</v>
      </c>
      <c r="AC71" s="1" t="s">
        <v>152</v>
      </c>
      <c r="AE71" s="5" t="s">
        <v>6</v>
      </c>
      <c r="AF71" s="5" t="s">
        <v>7</v>
      </c>
      <c r="AG71" s="5" t="s">
        <v>8</v>
      </c>
      <c r="AI71" s="5" t="s">
        <v>6</v>
      </c>
      <c r="AJ71" s="5" t="s">
        <v>7</v>
      </c>
      <c r="AK71" s="5" t="s">
        <v>8</v>
      </c>
      <c r="AM71" s="5" t="s">
        <v>154</v>
      </c>
      <c r="AO71" s="5" t="s">
        <v>6</v>
      </c>
      <c r="AP71" s="5" t="s">
        <v>7</v>
      </c>
      <c r="AQ71" s="5" t="s">
        <v>8</v>
      </c>
    </row>
    <row r="72" spans="19:43" x14ac:dyDescent="0.25">
      <c r="W72" s="22" t="s">
        <v>10</v>
      </c>
      <c r="Y72" s="8">
        <v>150</v>
      </c>
      <c r="Z72" s="8">
        <v>150</v>
      </c>
      <c r="AA72" s="8">
        <v>75</v>
      </c>
      <c r="AD72" s="20" t="s">
        <v>9</v>
      </c>
      <c r="AE72" s="6">
        <v>325</v>
      </c>
      <c r="AF72" s="6">
        <v>490</v>
      </c>
      <c r="AG72" s="6">
        <v>700</v>
      </c>
      <c r="AI72" s="7">
        <f>Y71*AE72</f>
        <v>325000</v>
      </c>
      <c r="AJ72" s="7">
        <f t="shared" ref="AJ72:AK72" si="98">Z71*AF72</f>
        <v>306250</v>
      </c>
      <c r="AK72" s="7">
        <f t="shared" si="98"/>
        <v>227500</v>
      </c>
      <c r="AN72" s="20" t="s">
        <v>9</v>
      </c>
      <c r="AO72" s="23">
        <f>AE72*$AK$76</f>
        <v>109.24759896482315</v>
      </c>
      <c r="AP72" s="23">
        <f t="shared" ref="AP72:AQ72" si="99">AF72*$AK$76</f>
        <v>164.711764593118</v>
      </c>
      <c r="AQ72" s="23">
        <f t="shared" si="99"/>
        <v>235.30252084731143</v>
      </c>
    </row>
    <row r="73" spans="19:43" x14ac:dyDescent="0.25">
      <c r="W73" s="22" t="s">
        <v>11</v>
      </c>
      <c r="Y73" s="8">
        <v>250</v>
      </c>
      <c r="Z73" s="8">
        <v>150</v>
      </c>
      <c r="AA73" s="8">
        <v>100</v>
      </c>
      <c r="AD73" s="20" t="s">
        <v>10</v>
      </c>
      <c r="AE73" s="6">
        <v>335</v>
      </c>
      <c r="AF73" s="6">
        <v>490</v>
      </c>
      <c r="AG73" s="6">
        <v>725</v>
      </c>
      <c r="AI73" s="7">
        <f t="shared" ref="AI73:AI74" si="100">Y72*AE73</f>
        <v>50250</v>
      </c>
      <c r="AJ73" s="7">
        <f t="shared" ref="AJ73:AJ74" si="101">Z72*AF73</f>
        <v>73500</v>
      </c>
      <c r="AK73" s="7">
        <f t="shared" ref="AK73:AK74" si="102">AA72*AG73</f>
        <v>54375</v>
      </c>
      <c r="AN73" s="20" t="s">
        <v>10</v>
      </c>
      <c r="AO73" s="23">
        <f t="shared" ref="AO73:AO74" si="103">AE73*$AK$76</f>
        <v>112.60906354835618</v>
      </c>
      <c r="AP73" s="23">
        <f t="shared" ref="AP73:AP74" si="104">AF73*$AK$76</f>
        <v>164.711764593118</v>
      </c>
      <c r="AQ73" s="23">
        <f t="shared" ref="AQ73:AQ74" si="105">AG73*$AK$76</f>
        <v>243.70618230614397</v>
      </c>
    </row>
    <row r="74" spans="19:43" x14ac:dyDescent="0.25">
      <c r="AA74" s="39">
        <f>SUM(Y71:AA73)</f>
        <v>2825</v>
      </c>
      <c r="AD74" s="20" t="s">
        <v>11</v>
      </c>
      <c r="AE74" s="6">
        <v>375</v>
      </c>
      <c r="AF74" s="6">
        <v>590</v>
      </c>
      <c r="AG74" s="6">
        <v>850</v>
      </c>
      <c r="AI74" s="7">
        <f t="shared" si="100"/>
        <v>93750</v>
      </c>
      <c r="AJ74" s="7">
        <f t="shared" si="101"/>
        <v>88500</v>
      </c>
      <c r="AK74" s="7">
        <f t="shared" si="102"/>
        <v>85000</v>
      </c>
      <c r="AN74" s="20" t="s">
        <v>11</v>
      </c>
      <c r="AO74" s="23">
        <f t="shared" si="103"/>
        <v>126.05492188248826</v>
      </c>
      <c r="AP74" s="23">
        <f t="shared" si="104"/>
        <v>198.32641042844821</v>
      </c>
      <c r="AQ74" s="23">
        <f t="shared" si="105"/>
        <v>285.72448960030675</v>
      </c>
    </row>
    <row r="75" spans="19:43" x14ac:dyDescent="0.25">
      <c r="AK75" s="1">
        <f>SUM(AI72:AK74)</f>
        <v>1304125</v>
      </c>
    </row>
    <row r="76" spans="19:43" x14ac:dyDescent="0.25">
      <c r="T76" s="1" t="s">
        <v>153</v>
      </c>
      <c r="Y76" s="32">
        <f>Y69/AA74</f>
        <v>155.17769911504425</v>
      </c>
      <c r="AK76">
        <f>Y69/AK75</f>
        <v>0.33614645835330204</v>
      </c>
    </row>
    <row r="78" spans="19:43" x14ac:dyDescent="0.25">
      <c r="W78" s="22" t="s">
        <v>9</v>
      </c>
      <c r="Y78" s="41">
        <f>Y64+$Y$76</f>
        <v>308.85249493344327</v>
      </c>
      <c r="Z78" s="41">
        <f t="shared" ref="Z78:AA78" si="106">Z64+$Y$76</f>
        <v>406.6387938880431</v>
      </c>
      <c r="AA78" s="41">
        <f t="shared" si="106"/>
        <v>558.88409075184234</v>
      </c>
      <c r="AC78" s="41">
        <f>AC64+$Y$76</f>
        <v>312.95971259819032</v>
      </c>
      <c r="AD78" s="41">
        <f t="shared" ref="AD78:AE78" si="107">AD64+$Y$76</f>
        <v>411.77281596897683</v>
      </c>
      <c r="AE78" s="41">
        <f t="shared" si="107"/>
        <v>567.09852608133644</v>
      </c>
      <c r="AG78" s="41">
        <f>AG64+$Y$76</f>
        <v>322.47532807883954</v>
      </c>
      <c r="AH78" s="41">
        <f t="shared" ref="AH78:AI78" si="108">AH64+$Y$76</f>
        <v>423.66733531978832</v>
      </c>
      <c r="AI78" s="41">
        <f t="shared" si="108"/>
        <v>586.12975704263476</v>
      </c>
    </row>
    <row r="79" spans="19:43" x14ac:dyDescent="0.25">
      <c r="W79" s="22" t="s">
        <v>10</v>
      </c>
      <c r="Y79" s="41">
        <f t="shared" ref="Y79:AA79" si="109">Y65+$Y$76</f>
        <v>322.2524949334433</v>
      </c>
      <c r="Z79" s="41">
        <f t="shared" si="109"/>
        <v>433.43879388804305</v>
      </c>
      <c r="AA79" s="41">
        <f t="shared" si="109"/>
        <v>612.48409075184236</v>
      </c>
      <c r="AC79" s="41">
        <f t="shared" ref="AC79:AE79" si="110">AC65+$Y$76</f>
        <v>326.3597125981903</v>
      </c>
      <c r="AD79" s="41">
        <f t="shared" si="110"/>
        <v>438.57281596897678</v>
      </c>
      <c r="AE79" s="41">
        <f t="shared" si="110"/>
        <v>620.69852608133635</v>
      </c>
      <c r="AG79" s="41">
        <f t="shared" ref="AG79:AI79" si="111">AG65+$Y$76</f>
        <v>335.87532807883952</v>
      </c>
      <c r="AH79" s="41">
        <f t="shared" si="111"/>
        <v>450.46733531978828</v>
      </c>
      <c r="AI79" s="41">
        <f t="shared" si="111"/>
        <v>639.72975704263479</v>
      </c>
    </row>
    <row r="80" spans="19:43" x14ac:dyDescent="0.25">
      <c r="W80" s="22" t="s">
        <v>11</v>
      </c>
      <c r="Y80" s="41">
        <f t="shared" ref="Y80:AA80" si="112">Y66+$Y$76</f>
        <v>304.95249493344329</v>
      </c>
      <c r="Z80" s="41">
        <f t="shared" si="112"/>
        <v>398.83879388804303</v>
      </c>
      <c r="AA80" s="41">
        <f t="shared" si="112"/>
        <v>543.28409075184231</v>
      </c>
      <c r="AC80" s="41">
        <f t="shared" ref="AC80:AE80" si="113">AC66+$Y$76</f>
        <v>309.05971259819034</v>
      </c>
      <c r="AD80" s="41">
        <f t="shared" si="113"/>
        <v>403.97281596897682</v>
      </c>
      <c r="AE80" s="41">
        <f t="shared" si="113"/>
        <v>551.49852608133642</v>
      </c>
      <c r="AG80" s="41">
        <f t="shared" ref="AG80:AI80" si="114">AG66+$Y$76</f>
        <v>318.57532807883956</v>
      </c>
      <c r="AH80" s="41">
        <f t="shared" si="114"/>
        <v>415.86733531978837</v>
      </c>
      <c r="AI80" s="41">
        <f t="shared" si="114"/>
        <v>570.52975704263474</v>
      </c>
    </row>
  </sheetData>
  <mergeCells count="6">
    <mergeCell ref="AC2:AE2"/>
    <mergeCell ref="AG2:AI2"/>
    <mergeCell ref="F9:H10"/>
    <mergeCell ref="I12:J13"/>
    <mergeCell ref="I15:J15"/>
    <mergeCell ref="Y2:AA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8661-C85A-48D3-9761-1C7E61FA61D0}">
  <dimension ref="B1:W40"/>
  <sheetViews>
    <sheetView topLeftCell="A20" workbookViewId="0">
      <selection activeCell="H32" sqref="H32"/>
    </sheetView>
  </sheetViews>
  <sheetFormatPr defaultRowHeight="15" x14ac:dyDescent="0.25"/>
  <cols>
    <col min="2" max="2" width="12.5703125" customWidth="1"/>
    <col min="3" max="3" width="12" customWidth="1"/>
    <col min="4" max="4" width="13.28515625" customWidth="1"/>
    <col min="5" max="5" width="13.140625" customWidth="1"/>
    <col min="6" max="6" width="14.5703125" customWidth="1"/>
    <col min="7" max="7" width="10.42578125" customWidth="1"/>
    <col min="8" max="8" width="11.5703125" customWidth="1"/>
    <col min="19" max="19" width="9.7109375" bestFit="1" customWidth="1"/>
    <col min="23" max="23" width="9.7109375" bestFit="1" customWidth="1"/>
  </cols>
  <sheetData>
    <row r="1" spans="2:8" ht="15.75" thickBot="1" x14ac:dyDescent="0.3"/>
    <row r="2" spans="2:8" ht="15.75" thickBot="1" x14ac:dyDescent="0.3">
      <c r="B2" s="33" t="s">
        <v>124</v>
      </c>
      <c r="D2" s="35" t="s">
        <v>125</v>
      </c>
      <c r="E2" t="s">
        <v>129</v>
      </c>
      <c r="F2" s="34" t="s">
        <v>126</v>
      </c>
    </row>
    <row r="3" spans="2:8" ht="15.75" thickBot="1" x14ac:dyDescent="0.3">
      <c r="B3" s="33"/>
      <c r="F3" s="4"/>
    </row>
    <row r="4" spans="2:8" ht="15.75" thickBot="1" x14ac:dyDescent="0.3">
      <c r="B4" s="33" t="s">
        <v>122</v>
      </c>
      <c r="D4" s="34" t="s">
        <v>125</v>
      </c>
      <c r="E4" t="s">
        <v>129</v>
      </c>
      <c r="F4" s="35" t="s">
        <v>127</v>
      </c>
      <c r="G4" t="s">
        <v>130</v>
      </c>
      <c r="H4" s="34" t="s">
        <v>128</v>
      </c>
    </row>
    <row r="5" spans="2:8" ht="15.75" thickBot="1" x14ac:dyDescent="0.3">
      <c r="B5" s="33"/>
      <c r="F5" s="4"/>
    </row>
    <row r="6" spans="2:8" ht="15.75" thickBot="1" x14ac:dyDescent="0.3">
      <c r="B6" s="33" t="s">
        <v>123</v>
      </c>
      <c r="D6" s="34" t="s">
        <v>125</v>
      </c>
      <c r="E6" t="s">
        <v>129</v>
      </c>
      <c r="F6" s="34" t="s">
        <v>128</v>
      </c>
    </row>
    <row r="9" spans="2:8" x14ac:dyDescent="0.25">
      <c r="B9" s="1" t="s">
        <v>131</v>
      </c>
    </row>
    <row r="10" spans="2:8" x14ac:dyDescent="0.25">
      <c r="B10" t="s">
        <v>124</v>
      </c>
      <c r="D10">
        <v>1381</v>
      </c>
      <c r="E10" t="s">
        <v>132</v>
      </c>
    </row>
    <row r="11" spans="2:8" x14ac:dyDescent="0.25">
      <c r="B11" t="s">
        <v>122</v>
      </c>
      <c r="D11" t="s">
        <v>133</v>
      </c>
    </row>
    <row r="12" spans="2:8" x14ac:dyDescent="0.25">
      <c r="B12" t="s">
        <v>123</v>
      </c>
      <c r="D12" t="s">
        <v>134</v>
      </c>
    </row>
    <row r="14" spans="2:8" x14ac:dyDescent="0.25">
      <c r="B14" s="1" t="s">
        <v>135</v>
      </c>
      <c r="F14" s="1" t="s">
        <v>136</v>
      </c>
    </row>
    <row r="15" spans="2:8" x14ac:dyDescent="0.25">
      <c r="C15" t="s">
        <v>6</v>
      </c>
      <c r="F15" t="s">
        <v>137</v>
      </c>
    </row>
    <row r="16" spans="2:8" x14ac:dyDescent="0.25">
      <c r="C16" t="s">
        <v>7</v>
      </c>
      <c r="F16" t="s">
        <v>138</v>
      </c>
    </row>
    <row r="17" spans="2:23" x14ac:dyDescent="0.25">
      <c r="C17" t="s">
        <v>8</v>
      </c>
      <c r="F17" t="s">
        <v>139</v>
      </c>
    </row>
    <row r="20" spans="2:23" x14ac:dyDescent="0.25">
      <c r="B20" s="1" t="s">
        <v>140</v>
      </c>
      <c r="D20" s="5" t="s">
        <v>6</v>
      </c>
      <c r="E20" s="5" t="s">
        <v>7</v>
      </c>
      <c r="F20" s="5" t="s">
        <v>8</v>
      </c>
    </row>
    <row r="21" spans="2:23" x14ac:dyDescent="0.25">
      <c r="C21" t="s">
        <v>9</v>
      </c>
      <c r="D21" s="36">
        <v>900</v>
      </c>
      <c r="E21" s="36">
        <v>700</v>
      </c>
      <c r="F21" s="36">
        <v>400</v>
      </c>
    </row>
    <row r="22" spans="2:23" x14ac:dyDescent="0.25">
      <c r="C22" t="s">
        <v>10</v>
      </c>
      <c r="D22" s="36">
        <v>100</v>
      </c>
      <c r="E22" s="36">
        <v>100</v>
      </c>
      <c r="F22" s="36">
        <v>50</v>
      </c>
    </row>
    <row r="23" spans="2:23" x14ac:dyDescent="0.25">
      <c r="C23" t="s">
        <v>11</v>
      </c>
      <c r="D23" s="36">
        <v>700</v>
      </c>
      <c r="E23" s="36">
        <v>450</v>
      </c>
      <c r="F23" s="36">
        <v>200</v>
      </c>
    </row>
    <row r="26" spans="2:23" x14ac:dyDescent="0.25">
      <c r="B26" s="1" t="s">
        <v>141</v>
      </c>
      <c r="D26" s="5" t="s">
        <v>6</v>
      </c>
      <c r="E26" s="5" t="s">
        <v>7</v>
      </c>
      <c r="F26" s="5" t="s">
        <v>8</v>
      </c>
      <c r="I26" s="33" t="s">
        <v>142</v>
      </c>
      <c r="L26" s="5" t="s">
        <v>143</v>
      </c>
      <c r="N26" s="33" t="s">
        <v>144</v>
      </c>
      <c r="Q26" s="1" t="s">
        <v>145</v>
      </c>
      <c r="S26" s="1" t="s">
        <v>146</v>
      </c>
      <c r="U26" s="5" t="s">
        <v>147</v>
      </c>
      <c r="W26" s="1" t="s">
        <v>146</v>
      </c>
    </row>
    <row r="27" spans="2:23" x14ac:dyDescent="0.25">
      <c r="C27" t="s">
        <v>9</v>
      </c>
      <c r="D27" s="6">
        <f>D21*1</f>
        <v>900</v>
      </c>
      <c r="E27" s="6">
        <f>E21*2</f>
        <v>1400</v>
      </c>
      <c r="F27" s="6">
        <f>F21*4</f>
        <v>1600</v>
      </c>
      <c r="G27" s="1">
        <f>SUM(D27:F27)</f>
        <v>3900</v>
      </c>
      <c r="I27" s="7">
        <f>G27/500</f>
        <v>7.8</v>
      </c>
      <c r="J27" s="37">
        <f>ROUNDUP(I27, 0)</f>
        <v>8</v>
      </c>
      <c r="L27" s="37">
        <v>1381</v>
      </c>
      <c r="N27" s="7">
        <f>L27/400</f>
        <v>3.4525000000000001</v>
      </c>
      <c r="O27" s="37">
        <f>ROUNDUP(N27, 0)</f>
        <v>4</v>
      </c>
      <c r="Q27" s="37">
        <v>650</v>
      </c>
      <c r="S27" s="37">
        <f>Q27*O27*J27</f>
        <v>20800</v>
      </c>
      <c r="U27" s="37">
        <v>0</v>
      </c>
      <c r="W27" s="37">
        <f>S27+U27</f>
        <v>20800</v>
      </c>
    </row>
    <row r="28" spans="2:23" x14ac:dyDescent="0.25">
      <c r="C28" t="s">
        <v>10</v>
      </c>
      <c r="D28" s="6">
        <f>D22*1</f>
        <v>100</v>
      </c>
      <c r="E28" s="6">
        <f t="shared" ref="E28:E29" si="0">E22*2</f>
        <v>200</v>
      </c>
      <c r="F28" s="6">
        <f t="shared" ref="F28:F29" si="1">F22*4</f>
        <v>200</v>
      </c>
      <c r="G28" s="1">
        <f t="shared" ref="G28:G29" si="2">SUM(D28:F28)</f>
        <v>500</v>
      </c>
      <c r="I28" s="7">
        <f>G28/500</f>
        <v>1</v>
      </c>
      <c r="J28" s="37">
        <f t="shared" ref="J28:J29" si="3">ROUNDUP(I28, 0)</f>
        <v>1</v>
      </c>
      <c r="L28" s="37">
        <f>250*2</f>
        <v>500</v>
      </c>
      <c r="N28" s="7">
        <f t="shared" ref="N28:N29" si="4">L28/400</f>
        <v>1.25</v>
      </c>
      <c r="O28" s="37">
        <f t="shared" ref="O28:O29" si="5">ROUNDUP(N28, 0)</f>
        <v>2</v>
      </c>
      <c r="Q28" s="37">
        <v>650</v>
      </c>
      <c r="S28" s="37">
        <f t="shared" ref="S28:S29" si="6">Q28*O28*J28</f>
        <v>1300</v>
      </c>
      <c r="U28" s="37">
        <f>J28*8000</f>
        <v>8000</v>
      </c>
      <c r="W28" s="37">
        <f>U28+S28</f>
        <v>9300</v>
      </c>
    </row>
    <row r="29" spans="2:23" x14ac:dyDescent="0.25">
      <c r="C29" t="s">
        <v>11</v>
      </c>
      <c r="D29" s="6">
        <f>D23*1</f>
        <v>700</v>
      </c>
      <c r="E29" s="6">
        <f t="shared" si="0"/>
        <v>900</v>
      </c>
      <c r="F29" s="6">
        <f t="shared" si="1"/>
        <v>800</v>
      </c>
      <c r="G29" s="1">
        <f t="shared" si="2"/>
        <v>2400</v>
      </c>
      <c r="I29" s="7">
        <f>G29/500</f>
        <v>4.8</v>
      </c>
      <c r="J29" s="37">
        <f t="shared" si="3"/>
        <v>5</v>
      </c>
      <c r="L29" s="37">
        <f>150*2</f>
        <v>300</v>
      </c>
      <c r="N29" s="7">
        <f t="shared" si="4"/>
        <v>0.75</v>
      </c>
      <c r="O29" s="37">
        <f t="shared" si="5"/>
        <v>1</v>
      </c>
      <c r="Q29" s="37">
        <v>650</v>
      </c>
      <c r="S29" s="37">
        <f t="shared" si="6"/>
        <v>3250</v>
      </c>
      <c r="U29" s="37">
        <v>0</v>
      </c>
      <c r="W29" s="37">
        <f>U29+S29</f>
        <v>3250</v>
      </c>
    </row>
    <row r="30" spans="2:23" x14ac:dyDescent="0.25">
      <c r="W30" s="31">
        <f>SUM(W27:W29)</f>
        <v>33350</v>
      </c>
    </row>
    <row r="32" spans="2:23" x14ac:dyDescent="0.25">
      <c r="B32" s="1" t="s">
        <v>151</v>
      </c>
      <c r="D32" s="5" t="s">
        <v>149</v>
      </c>
      <c r="E32" s="5" t="s">
        <v>146</v>
      </c>
      <c r="F32" s="5" t="s">
        <v>148</v>
      </c>
    </row>
    <row r="33" spans="2:6" x14ac:dyDescent="0.25">
      <c r="C33" t="s">
        <v>9</v>
      </c>
      <c r="D33" s="7">
        <f>J27*500</f>
        <v>4000</v>
      </c>
      <c r="E33" s="7">
        <f>W27</f>
        <v>20800</v>
      </c>
      <c r="F33" s="7">
        <f>E33/D33</f>
        <v>5.2</v>
      </c>
    </row>
    <row r="34" spans="2:6" x14ac:dyDescent="0.25">
      <c r="C34" t="s">
        <v>10</v>
      </c>
      <c r="D34" s="7">
        <f t="shared" ref="D34:D35" si="7">J28*500</f>
        <v>500</v>
      </c>
      <c r="E34" s="7">
        <f t="shared" ref="E34:E35" si="8">W28</f>
        <v>9300</v>
      </c>
      <c r="F34" s="7">
        <f t="shared" ref="F34:F35" si="9">E34/D34</f>
        <v>18.600000000000001</v>
      </c>
    </row>
    <row r="35" spans="2:6" x14ac:dyDescent="0.25">
      <c r="C35" t="s">
        <v>11</v>
      </c>
      <c r="D35" s="7">
        <f t="shared" si="7"/>
        <v>2500</v>
      </c>
      <c r="E35" s="7">
        <f t="shared" si="8"/>
        <v>3250</v>
      </c>
      <c r="F35" s="7">
        <f t="shared" si="9"/>
        <v>1.3</v>
      </c>
    </row>
    <row r="37" spans="2:6" x14ac:dyDescent="0.25">
      <c r="B37" s="1" t="s">
        <v>150</v>
      </c>
      <c r="D37" s="5" t="s">
        <v>6</v>
      </c>
      <c r="E37" s="5" t="s">
        <v>7</v>
      </c>
      <c r="F37" s="5" t="s">
        <v>8</v>
      </c>
    </row>
    <row r="38" spans="2:6" x14ac:dyDescent="0.25">
      <c r="C38" t="s">
        <v>9</v>
      </c>
      <c r="D38" s="7">
        <f>F33*1</f>
        <v>5.2</v>
      </c>
      <c r="E38" s="7">
        <f>F33*2</f>
        <v>10.4</v>
      </c>
      <c r="F38" s="7">
        <f>F33*4</f>
        <v>20.8</v>
      </c>
    </row>
    <row r="39" spans="2:6" x14ac:dyDescent="0.25">
      <c r="C39" t="s">
        <v>10</v>
      </c>
      <c r="D39" s="7">
        <f t="shared" ref="D39:D40" si="10">F34*1</f>
        <v>18.600000000000001</v>
      </c>
      <c r="E39" s="7">
        <f t="shared" ref="E39:E40" si="11">F34*2</f>
        <v>37.200000000000003</v>
      </c>
      <c r="F39" s="7">
        <f t="shared" ref="F39:F40" si="12">F34*4</f>
        <v>74.400000000000006</v>
      </c>
    </row>
    <row r="40" spans="2:6" x14ac:dyDescent="0.25">
      <c r="C40" t="s">
        <v>11</v>
      </c>
      <c r="D40" s="7">
        <f t="shared" si="10"/>
        <v>1.3</v>
      </c>
      <c r="E40" s="7">
        <f t="shared" si="11"/>
        <v>2.6</v>
      </c>
      <c r="F40" s="7">
        <f t="shared" si="12"/>
        <v>5.2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41D5-0291-4519-A2BC-903D58210003}">
  <dimension ref="B3:J72"/>
  <sheetViews>
    <sheetView topLeftCell="A11" workbookViewId="0">
      <selection activeCell="H11" sqref="H11"/>
    </sheetView>
  </sheetViews>
  <sheetFormatPr defaultRowHeight="15" x14ac:dyDescent="0.25"/>
  <cols>
    <col min="2" max="2" width="12.7109375" customWidth="1"/>
    <col min="3" max="3" width="12.28515625" customWidth="1"/>
    <col min="4" max="4" width="11.42578125" customWidth="1"/>
    <col min="5" max="5" width="12.42578125" customWidth="1"/>
    <col min="6" max="8" width="11.5703125" bestFit="1" customWidth="1"/>
    <col min="9" max="9" width="10.85546875" customWidth="1"/>
    <col min="10" max="10" width="11" customWidth="1"/>
  </cols>
  <sheetData>
    <row r="3" spans="2:6" x14ac:dyDescent="0.25">
      <c r="B3" s="31" t="s">
        <v>155</v>
      </c>
      <c r="F3" s="31" t="s">
        <v>156</v>
      </c>
    </row>
    <row r="5" spans="2:6" x14ac:dyDescent="0.25">
      <c r="F5" s="1" t="s">
        <v>157</v>
      </c>
    </row>
    <row r="28" spans="2:10" x14ac:dyDescent="0.25">
      <c r="I28" s="5" t="s">
        <v>161</v>
      </c>
      <c r="J28" s="5" t="s">
        <v>162</v>
      </c>
    </row>
    <row r="29" spans="2:10" x14ac:dyDescent="0.25">
      <c r="B29" t="s">
        <v>160</v>
      </c>
      <c r="H29" s="22" t="s">
        <v>165</v>
      </c>
      <c r="I29" s="7">
        <f>I30*0.9</f>
        <v>3600000</v>
      </c>
      <c r="J29" s="7">
        <f>J30*0.9</f>
        <v>3960000</v>
      </c>
    </row>
    <row r="30" spans="2:10" x14ac:dyDescent="0.25">
      <c r="C30" s="1" t="s">
        <v>158</v>
      </c>
      <c r="H30" s="22" t="s">
        <v>164</v>
      </c>
      <c r="I30" s="7">
        <v>4000000</v>
      </c>
      <c r="J30" s="7">
        <f>I31</f>
        <v>4400000</v>
      </c>
    </row>
    <row r="31" spans="2:10" x14ac:dyDescent="0.25">
      <c r="C31" s="1" t="s">
        <v>159</v>
      </c>
      <c r="H31" s="22" t="s">
        <v>163</v>
      </c>
      <c r="I31" s="7">
        <f>I30*1.1</f>
        <v>4400000</v>
      </c>
      <c r="J31" s="7">
        <f>J30*1.1</f>
        <v>4840000</v>
      </c>
    </row>
    <row r="34" spans="2:10" x14ac:dyDescent="0.25">
      <c r="B34" s="42"/>
      <c r="C34" s="42"/>
      <c r="D34" s="42"/>
      <c r="E34" s="21" t="s">
        <v>170</v>
      </c>
      <c r="F34" s="21" t="s">
        <v>171</v>
      </c>
      <c r="G34" s="21" t="s">
        <v>172</v>
      </c>
      <c r="H34" s="21" t="s">
        <v>173</v>
      </c>
      <c r="I34" s="21" t="s">
        <v>174</v>
      </c>
      <c r="J34" s="21" t="s">
        <v>175</v>
      </c>
    </row>
    <row r="35" spans="2:10" x14ac:dyDescent="0.25">
      <c r="B35" s="44" t="s">
        <v>166</v>
      </c>
      <c r="C35" s="42"/>
      <c r="D35" s="42"/>
      <c r="E35" s="43">
        <v>0</v>
      </c>
      <c r="F35" s="43">
        <v>0</v>
      </c>
      <c r="G35" s="43">
        <v>0</v>
      </c>
      <c r="H35" s="43">
        <v>400000</v>
      </c>
      <c r="I35" s="43">
        <v>-440000</v>
      </c>
      <c r="J35" s="43">
        <v>880000</v>
      </c>
    </row>
    <row r="36" spans="2:10" x14ac:dyDescent="0.25">
      <c r="B36" s="44" t="s">
        <v>167</v>
      </c>
      <c r="C36" s="42"/>
      <c r="D36" s="42"/>
      <c r="E36" s="43">
        <v>108.01</v>
      </c>
      <c r="F36" s="43">
        <v>110.02</v>
      </c>
      <c r="G36" s="43">
        <v>110.42</v>
      </c>
      <c r="H36" s="43">
        <v>110.42</v>
      </c>
      <c r="I36" s="43">
        <v>110.42</v>
      </c>
      <c r="J36" s="43">
        <v>110.42</v>
      </c>
    </row>
    <row r="37" spans="2:10" x14ac:dyDescent="0.25">
      <c r="B37" s="44" t="s">
        <v>168</v>
      </c>
      <c r="C37" s="42"/>
      <c r="D37" s="42"/>
      <c r="E37" s="43">
        <f>E35*E36</f>
        <v>0</v>
      </c>
      <c r="F37" s="43">
        <f>F35*E36/100</f>
        <v>0</v>
      </c>
      <c r="G37" s="43">
        <f t="shared" ref="G37:J37" si="0">G35*F36/100</f>
        <v>0</v>
      </c>
      <c r="H37" s="43">
        <f t="shared" si="0"/>
        <v>441680</v>
      </c>
      <c r="I37" s="43">
        <f t="shared" si="0"/>
        <v>-485848</v>
      </c>
      <c r="J37" s="43">
        <f t="shared" si="0"/>
        <v>971696</v>
      </c>
    </row>
    <row r="38" spans="2:10" x14ac:dyDescent="0.25">
      <c r="B38" s="42"/>
      <c r="C38" s="42"/>
      <c r="D38" s="42"/>
      <c r="E38" s="43"/>
      <c r="F38" s="43"/>
      <c r="G38" s="43"/>
      <c r="H38" s="43"/>
      <c r="I38" s="43"/>
      <c r="J38" s="43"/>
    </row>
    <row r="39" spans="2:10" x14ac:dyDescent="0.25">
      <c r="B39" s="44" t="s">
        <v>164</v>
      </c>
      <c r="C39" s="42"/>
      <c r="D39" s="42"/>
      <c r="E39" s="43">
        <v>4000000</v>
      </c>
      <c r="F39" s="43">
        <f>E39+F35</f>
        <v>4000000</v>
      </c>
      <c r="G39" s="43">
        <f t="shared" ref="G39:J39" si="1">F39+G35</f>
        <v>4000000</v>
      </c>
      <c r="H39" s="43">
        <f t="shared" si="1"/>
        <v>4400000</v>
      </c>
      <c r="I39" s="43">
        <f t="shared" si="1"/>
        <v>3960000</v>
      </c>
      <c r="J39" s="43">
        <f t="shared" si="1"/>
        <v>4840000</v>
      </c>
    </row>
    <row r="40" spans="2:10" x14ac:dyDescent="0.25">
      <c r="B40" s="42"/>
      <c r="C40" s="42"/>
      <c r="D40" s="42"/>
      <c r="E40" s="43"/>
      <c r="F40" s="43"/>
      <c r="G40" s="43"/>
      <c r="H40" s="43"/>
      <c r="I40" s="43"/>
      <c r="J40" s="43"/>
    </row>
    <row r="41" spans="2:10" x14ac:dyDescent="0.25">
      <c r="B41" s="44" t="s">
        <v>169</v>
      </c>
      <c r="C41" s="42"/>
      <c r="D41" s="42"/>
      <c r="E41" s="43">
        <f>E37-E35+D41</f>
        <v>0</v>
      </c>
      <c r="F41" s="43">
        <f t="shared" ref="F41:J41" si="2">F37-F35+E41</f>
        <v>0</v>
      </c>
      <c r="G41" s="43">
        <f t="shared" si="2"/>
        <v>0</v>
      </c>
      <c r="H41" s="43">
        <f t="shared" si="2"/>
        <v>41680</v>
      </c>
      <c r="I41" s="43">
        <f t="shared" si="2"/>
        <v>-4168</v>
      </c>
      <c r="J41" s="43">
        <f t="shared" si="2"/>
        <v>87528</v>
      </c>
    </row>
    <row r="55" spans="2:5" x14ac:dyDescent="0.25">
      <c r="B55" s="1" t="s">
        <v>176</v>
      </c>
      <c r="E55" s="38">
        <v>4000000</v>
      </c>
    </row>
    <row r="56" spans="2:5" x14ac:dyDescent="0.25">
      <c r="B56" s="1" t="s">
        <v>177</v>
      </c>
      <c r="E56" s="38">
        <v>1</v>
      </c>
    </row>
    <row r="58" spans="2:5" x14ac:dyDescent="0.25">
      <c r="B58" t="s">
        <v>178</v>
      </c>
      <c r="E58">
        <f>E55/E56</f>
        <v>4000000</v>
      </c>
    </row>
    <row r="60" spans="2:5" x14ac:dyDescent="0.25">
      <c r="B60" s="1" t="s">
        <v>179</v>
      </c>
    </row>
    <row r="61" spans="2:5" x14ac:dyDescent="0.25">
      <c r="C61" s="4" t="s">
        <v>180</v>
      </c>
      <c r="E61">
        <f>E58*0.01</f>
        <v>40000</v>
      </c>
    </row>
    <row r="62" spans="2:5" x14ac:dyDescent="0.25">
      <c r="C62" s="4" t="s">
        <v>181</v>
      </c>
      <c r="E62">
        <f>E58*0.02</f>
        <v>80000</v>
      </c>
    </row>
    <row r="65" spans="2:9" x14ac:dyDescent="0.25">
      <c r="B65" s="42"/>
      <c r="C65" s="42"/>
      <c r="D65" s="21" t="s">
        <v>170</v>
      </c>
      <c r="E65" s="21" t="s">
        <v>171</v>
      </c>
      <c r="F65" s="21" t="s">
        <v>172</v>
      </c>
      <c r="G65" s="21" t="s">
        <v>173</v>
      </c>
      <c r="H65" s="21" t="s">
        <v>174</v>
      </c>
      <c r="I65" s="21" t="s">
        <v>175</v>
      </c>
    </row>
    <row r="66" spans="2:9" x14ac:dyDescent="0.25">
      <c r="B66" s="44" t="s">
        <v>182</v>
      </c>
      <c r="C66" s="42"/>
      <c r="D66" s="43">
        <v>-147251</v>
      </c>
      <c r="E66" s="43">
        <f>D72</f>
        <v>-43916</v>
      </c>
      <c r="F66" s="43">
        <f t="shared" ref="F66:I66" si="3">E72</f>
        <v>69752.5</v>
      </c>
      <c r="G66" s="43">
        <f t="shared" si="3"/>
        <v>154787.85</v>
      </c>
      <c r="H66" s="43">
        <f t="shared" si="3"/>
        <v>172326.74</v>
      </c>
      <c r="I66" s="43">
        <f t="shared" si="3"/>
        <v>84326.739999999991</v>
      </c>
    </row>
    <row r="67" spans="2:9" x14ac:dyDescent="0.25">
      <c r="B67" s="42"/>
      <c r="C67" s="42"/>
      <c r="D67" s="43"/>
      <c r="E67" s="43"/>
      <c r="F67" s="43"/>
      <c r="G67" s="43"/>
      <c r="H67" s="43"/>
      <c r="I67" s="43"/>
    </row>
    <row r="68" spans="2:9" x14ac:dyDescent="0.25">
      <c r="B68" s="44" t="s">
        <v>183</v>
      </c>
      <c r="C68" s="42"/>
      <c r="D68" s="43">
        <v>0</v>
      </c>
      <c r="E68" s="43">
        <v>0</v>
      </c>
      <c r="F68" s="43">
        <v>1</v>
      </c>
      <c r="G68" s="43">
        <v>3</v>
      </c>
      <c r="H68" s="43">
        <v>4</v>
      </c>
      <c r="I68" s="45">
        <v>2</v>
      </c>
    </row>
    <row r="69" spans="2:9" x14ac:dyDescent="0.25">
      <c r="B69" s="44" t="s">
        <v>184</v>
      </c>
      <c r="C69" s="42"/>
      <c r="D69" s="43">
        <f>D68/100*$E$55</f>
        <v>0</v>
      </c>
      <c r="E69" s="43">
        <f t="shared" ref="E69:I69" si="4">E68/100*$E$55</f>
        <v>0</v>
      </c>
      <c r="F69" s="43">
        <f t="shared" si="4"/>
        <v>40000</v>
      </c>
      <c r="G69" s="43">
        <f t="shared" si="4"/>
        <v>120000</v>
      </c>
      <c r="H69" s="43">
        <f t="shared" si="4"/>
        <v>160000</v>
      </c>
      <c r="I69" s="43">
        <f t="shared" si="4"/>
        <v>80000</v>
      </c>
    </row>
    <row r="70" spans="2:9" x14ac:dyDescent="0.25">
      <c r="B70" s="42"/>
      <c r="C70" s="42"/>
      <c r="D70" s="43"/>
      <c r="E70" s="43"/>
      <c r="F70" s="43"/>
      <c r="G70" s="43"/>
      <c r="H70" s="43"/>
      <c r="I70" s="43"/>
    </row>
    <row r="71" spans="2:9" x14ac:dyDescent="0.25">
      <c r="B71" s="44" t="s">
        <v>185</v>
      </c>
      <c r="C71" s="42"/>
      <c r="D71" s="43">
        <v>103335</v>
      </c>
      <c r="E71" s="43">
        <v>113668.5</v>
      </c>
      <c r="F71" s="43">
        <v>125035.35</v>
      </c>
      <c r="G71" s="43">
        <v>137538.89000000001</v>
      </c>
      <c r="H71" s="45">
        <v>72000</v>
      </c>
      <c r="I71" s="43">
        <v>125000</v>
      </c>
    </row>
    <row r="72" spans="2:9" x14ac:dyDescent="0.25">
      <c r="B72" s="44" t="s">
        <v>186</v>
      </c>
      <c r="C72" s="42"/>
      <c r="D72" s="43">
        <f>D71+D66-D69</f>
        <v>-43916</v>
      </c>
      <c r="E72" s="43">
        <f t="shared" ref="E72:I72" si="5">E71+E66-E69</f>
        <v>69752.5</v>
      </c>
      <c r="F72" s="43">
        <f t="shared" si="5"/>
        <v>154787.85</v>
      </c>
      <c r="G72" s="43">
        <f t="shared" si="5"/>
        <v>172326.74</v>
      </c>
      <c r="H72" s="43">
        <f t="shared" si="5"/>
        <v>84326.739999999991</v>
      </c>
      <c r="I72" s="43">
        <f t="shared" si="5"/>
        <v>129326.73999999999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88E3-5265-49EC-9908-C7243A96C0E3}">
  <dimension ref="B1:T27"/>
  <sheetViews>
    <sheetView topLeftCell="A7" workbookViewId="0">
      <selection activeCell="A22" sqref="A22"/>
    </sheetView>
  </sheetViews>
  <sheetFormatPr defaultRowHeight="15" x14ac:dyDescent="0.25"/>
  <cols>
    <col min="16" max="16" width="9.5703125" bestFit="1" customWidth="1"/>
    <col min="17" max="17" width="10.5703125" bestFit="1" customWidth="1"/>
    <col min="19" max="19" width="11" customWidth="1"/>
    <col min="20" max="20" width="9.5703125" bestFit="1" customWidth="1"/>
  </cols>
  <sheetData>
    <row r="1" spans="2:20" ht="15.75" thickBot="1" x14ac:dyDescent="0.3"/>
    <row r="2" spans="2:20" x14ac:dyDescent="0.25">
      <c r="B2" s="51" t="s">
        <v>192</v>
      </c>
      <c r="C2" s="52"/>
      <c r="D2" s="52"/>
      <c r="E2" s="53" t="s">
        <v>24</v>
      </c>
      <c r="F2" s="54"/>
      <c r="G2" s="52" t="s">
        <v>193</v>
      </c>
      <c r="H2" s="52"/>
      <c r="I2" s="52"/>
      <c r="J2" s="55" t="s">
        <v>24</v>
      </c>
    </row>
    <row r="3" spans="2:20" x14ac:dyDescent="0.25">
      <c r="B3" s="56"/>
      <c r="E3" s="49"/>
      <c r="F3" s="48"/>
      <c r="J3" s="57"/>
    </row>
    <row r="4" spans="2:20" x14ac:dyDescent="0.25">
      <c r="B4" s="65" t="s">
        <v>194</v>
      </c>
      <c r="E4" s="49"/>
      <c r="F4" s="48"/>
      <c r="G4" s="1" t="s">
        <v>195</v>
      </c>
      <c r="J4" s="57"/>
    </row>
    <row r="5" spans="2:20" x14ac:dyDescent="0.25">
      <c r="B5" s="56" t="s">
        <v>196</v>
      </c>
      <c r="E5" s="49">
        <v>50000</v>
      </c>
      <c r="F5" s="48"/>
      <c r="G5" t="s">
        <v>197</v>
      </c>
      <c r="J5" s="57">
        <v>1382395</v>
      </c>
    </row>
    <row r="6" spans="2:20" x14ac:dyDescent="0.25">
      <c r="B6" s="56" t="s">
        <v>198</v>
      </c>
      <c r="E6" s="49">
        <v>250000</v>
      </c>
      <c r="F6" s="48"/>
      <c r="G6" t="s">
        <v>29</v>
      </c>
      <c r="J6" s="57">
        <v>2135</v>
      </c>
    </row>
    <row r="7" spans="2:20" x14ac:dyDescent="0.25">
      <c r="B7" s="56" t="s">
        <v>199</v>
      </c>
      <c r="E7" s="49">
        <v>1070870</v>
      </c>
      <c r="F7" s="48"/>
      <c r="G7" t="s">
        <v>200</v>
      </c>
      <c r="J7" s="57">
        <v>1105914</v>
      </c>
    </row>
    <row r="8" spans="2:20" x14ac:dyDescent="0.25">
      <c r="B8" s="56" t="s">
        <v>201</v>
      </c>
      <c r="E8" s="47">
        <v>1370870</v>
      </c>
      <c r="F8" s="48"/>
      <c r="G8" t="s">
        <v>202</v>
      </c>
      <c r="J8" s="57">
        <v>0</v>
      </c>
    </row>
    <row r="9" spans="2:20" x14ac:dyDescent="0.25">
      <c r="B9" s="56"/>
      <c r="E9" s="49"/>
      <c r="F9" s="48"/>
      <c r="G9" t="s">
        <v>203</v>
      </c>
      <c r="J9" s="58">
        <v>278616</v>
      </c>
    </row>
    <row r="10" spans="2:20" x14ac:dyDescent="0.25">
      <c r="B10" s="65" t="s">
        <v>204</v>
      </c>
      <c r="E10" s="49"/>
      <c r="F10" s="48"/>
      <c r="J10" s="57"/>
    </row>
    <row r="11" spans="2:20" x14ac:dyDescent="0.25">
      <c r="B11" s="56" t="s">
        <v>205</v>
      </c>
      <c r="E11" s="49">
        <v>23568</v>
      </c>
      <c r="F11" s="48"/>
      <c r="G11" s="1" t="s">
        <v>206</v>
      </c>
      <c r="J11" s="59"/>
      <c r="K11" s="1"/>
      <c r="L11" s="1"/>
      <c r="M11" s="1" t="s">
        <v>230</v>
      </c>
      <c r="Q11" s="41">
        <v>886284</v>
      </c>
      <c r="T11" s="38">
        <f>J5-Q11</f>
        <v>496111</v>
      </c>
    </row>
    <row r="12" spans="2:20" x14ac:dyDescent="0.25">
      <c r="B12" s="56" t="s">
        <v>207</v>
      </c>
      <c r="E12" s="49">
        <v>0</v>
      </c>
      <c r="F12" s="48"/>
      <c r="G12" t="s">
        <v>208</v>
      </c>
      <c r="J12" s="57">
        <v>2875</v>
      </c>
    </row>
    <row r="13" spans="2:20" x14ac:dyDescent="0.25">
      <c r="B13" s="56" t="s">
        <v>209</v>
      </c>
      <c r="E13" s="49">
        <v>93582</v>
      </c>
      <c r="F13" s="48"/>
      <c r="G13" t="s">
        <v>210</v>
      </c>
      <c r="J13" s="57">
        <v>0</v>
      </c>
    </row>
    <row r="14" spans="2:20" x14ac:dyDescent="0.25">
      <c r="B14" s="56" t="s">
        <v>211</v>
      </c>
      <c r="E14" s="49">
        <v>818125</v>
      </c>
      <c r="F14" s="48"/>
      <c r="G14" t="s">
        <v>212</v>
      </c>
      <c r="J14" s="59">
        <v>0</v>
      </c>
      <c r="K14" s="1"/>
      <c r="L14" s="1"/>
      <c r="Q14" s="1" t="s">
        <v>188</v>
      </c>
    </row>
    <row r="15" spans="2:20" x14ac:dyDescent="0.25">
      <c r="B15" s="56" t="s">
        <v>213</v>
      </c>
      <c r="E15" s="49">
        <v>1976635</v>
      </c>
      <c r="F15" s="48"/>
      <c r="G15" t="s">
        <v>214</v>
      </c>
      <c r="J15" s="58">
        <v>2875</v>
      </c>
      <c r="M15" s="7">
        <v>967</v>
      </c>
      <c r="N15" s="7">
        <v>625</v>
      </c>
      <c r="O15" s="7">
        <v>361</v>
      </c>
      <c r="Q15" t="s">
        <v>9</v>
      </c>
      <c r="R15" s="7">
        <v>325</v>
      </c>
      <c r="S15" s="7">
        <v>490</v>
      </c>
      <c r="T15" s="7">
        <v>700</v>
      </c>
    </row>
    <row r="16" spans="2:20" x14ac:dyDescent="0.25">
      <c r="B16" s="56" t="s">
        <v>215</v>
      </c>
      <c r="E16" s="50">
        <v>2911910</v>
      </c>
      <c r="F16" s="48"/>
      <c r="J16" s="57"/>
      <c r="M16" s="7">
        <v>157</v>
      </c>
      <c r="N16" s="7">
        <v>141</v>
      </c>
      <c r="O16" s="7">
        <v>75</v>
      </c>
      <c r="Q16" t="s">
        <v>187</v>
      </c>
      <c r="R16" s="7">
        <v>335</v>
      </c>
      <c r="S16" s="7">
        <v>490</v>
      </c>
      <c r="T16" s="7">
        <v>725</v>
      </c>
    </row>
    <row r="17" spans="2:20" x14ac:dyDescent="0.25">
      <c r="B17" s="56" t="s">
        <v>216</v>
      </c>
      <c r="E17" s="47">
        <v>4282780</v>
      </c>
      <c r="F17" s="48"/>
      <c r="G17" s="1" t="s">
        <v>217</v>
      </c>
      <c r="J17" s="57"/>
      <c r="M17" s="7">
        <v>238</v>
      </c>
      <c r="N17" s="7">
        <v>150</v>
      </c>
      <c r="O17" s="7">
        <v>92</v>
      </c>
      <c r="Q17" t="s">
        <v>11</v>
      </c>
      <c r="R17" s="7">
        <v>375</v>
      </c>
      <c r="S17" s="7">
        <v>590</v>
      </c>
      <c r="T17" s="7">
        <v>850</v>
      </c>
    </row>
    <row r="18" spans="2:20" x14ac:dyDescent="0.25">
      <c r="B18" s="56"/>
      <c r="E18" s="49"/>
      <c r="F18" s="48"/>
      <c r="G18" t="s">
        <v>218</v>
      </c>
      <c r="J18" s="57">
        <v>0</v>
      </c>
    </row>
    <row r="19" spans="2:20" x14ac:dyDescent="0.25">
      <c r="B19" s="65" t="s">
        <v>219</v>
      </c>
      <c r="E19" s="49"/>
      <c r="F19" s="48"/>
      <c r="G19" t="s">
        <v>220</v>
      </c>
      <c r="J19" s="57">
        <v>0</v>
      </c>
    </row>
    <row r="20" spans="2:20" x14ac:dyDescent="0.25">
      <c r="B20" s="56" t="s">
        <v>221</v>
      </c>
      <c r="E20" s="49">
        <v>0</v>
      </c>
      <c r="F20" s="48"/>
      <c r="G20" t="s">
        <v>222</v>
      </c>
      <c r="J20" s="59">
        <v>0</v>
      </c>
      <c r="K20" s="1"/>
      <c r="L20" s="1"/>
      <c r="R20" s="1" t="s">
        <v>189</v>
      </c>
    </row>
    <row r="21" spans="2:20" x14ac:dyDescent="0.25">
      <c r="B21" s="56" t="s">
        <v>223</v>
      </c>
      <c r="E21" s="49">
        <v>326696</v>
      </c>
      <c r="F21" s="48"/>
      <c r="G21" t="s">
        <v>224</v>
      </c>
      <c r="J21" s="57">
        <v>0</v>
      </c>
      <c r="M21" s="7">
        <f>M15*R15</f>
        <v>314275</v>
      </c>
      <c r="N21" s="7">
        <f t="shared" ref="N21:O21" si="0">N15*S15</f>
        <v>306250</v>
      </c>
      <c r="O21" s="7">
        <f t="shared" si="0"/>
        <v>252700</v>
      </c>
      <c r="P21" s="7">
        <f>SUM(M21:O21)</f>
        <v>873225</v>
      </c>
      <c r="R21" s="46">
        <v>0.33</v>
      </c>
      <c r="S21" s="40">
        <f>P21*R21</f>
        <v>288164.25</v>
      </c>
    </row>
    <row r="22" spans="2:20" x14ac:dyDescent="0.25">
      <c r="B22" s="56" t="s">
        <v>225</v>
      </c>
      <c r="E22" s="49">
        <v>0</v>
      </c>
      <c r="F22" s="48"/>
      <c r="G22" t="s">
        <v>226</v>
      </c>
      <c r="J22" s="57">
        <v>0</v>
      </c>
      <c r="M22" s="7">
        <f t="shared" ref="M22:M23" si="1">M16*R16</f>
        <v>52595</v>
      </c>
      <c r="N22" s="7">
        <f t="shared" ref="N22:N23" si="2">N16*S16</f>
        <v>69090</v>
      </c>
      <c r="O22" s="7">
        <f t="shared" ref="O22:O23" si="3">O16*T16</f>
        <v>54375</v>
      </c>
      <c r="P22" s="7">
        <f t="shared" ref="P22:P23" si="4">SUM(M22:O22)</f>
        <v>176060</v>
      </c>
      <c r="R22" s="46">
        <v>0</v>
      </c>
      <c r="S22" s="40">
        <f t="shared" ref="S22:S23" si="5">P22*R22</f>
        <v>0</v>
      </c>
    </row>
    <row r="23" spans="2:20" x14ac:dyDescent="0.25">
      <c r="B23" s="56" t="s">
        <v>227</v>
      </c>
      <c r="E23" s="47">
        <v>326696</v>
      </c>
      <c r="F23" s="48"/>
      <c r="G23" t="s">
        <v>228</v>
      </c>
      <c r="J23" s="58">
        <v>0</v>
      </c>
      <c r="M23" s="7">
        <f t="shared" si="1"/>
        <v>89250</v>
      </c>
      <c r="N23" s="7">
        <f t="shared" si="2"/>
        <v>88500</v>
      </c>
      <c r="O23" s="7">
        <f t="shared" si="3"/>
        <v>78200</v>
      </c>
      <c r="P23" s="7">
        <f t="shared" si="4"/>
        <v>255950</v>
      </c>
      <c r="R23" s="46">
        <v>1</v>
      </c>
      <c r="S23" s="40">
        <f t="shared" si="5"/>
        <v>255950</v>
      </c>
    </row>
    <row r="24" spans="2:20" ht="15.75" thickBot="1" x14ac:dyDescent="0.3">
      <c r="B24" s="60" t="s">
        <v>229</v>
      </c>
      <c r="C24" s="61"/>
      <c r="D24" s="61"/>
      <c r="E24" s="62">
        <v>0</v>
      </c>
      <c r="F24" s="63"/>
      <c r="G24" s="61"/>
      <c r="H24" s="61"/>
      <c r="I24" s="61"/>
      <c r="J24" s="64"/>
      <c r="S24" s="1">
        <f>SUM(S21:S23)</f>
        <v>544114.25</v>
      </c>
    </row>
    <row r="26" spans="2:20" x14ac:dyDescent="0.25">
      <c r="M26" s="1" t="s">
        <v>190</v>
      </c>
      <c r="Q26" s="38">
        <f>S24+Q11</f>
        <v>1430398.25</v>
      </c>
    </row>
    <row r="27" spans="2:20" x14ac:dyDescent="0.25">
      <c r="M27" s="1" t="s">
        <v>191</v>
      </c>
      <c r="Q27">
        <f>(1-R21)*P21+P22</f>
        <v>761120.74999999988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7DF3-4188-4469-8FAB-4C6C6BE92EFC}">
  <dimension ref="B1:Z25"/>
  <sheetViews>
    <sheetView topLeftCell="K3" workbookViewId="0">
      <selection activeCell="V3" sqref="V3"/>
    </sheetView>
  </sheetViews>
  <sheetFormatPr defaultRowHeight="15" x14ac:dyDescent="0.25"/>
  <cols>
    <col min="21" max="21" width="28" bestFit="1" customWidth="1"/>
  </cols>
  <sheetData>
    <row r="1" spans="2:26" ht="15.75" thickBot="1" x14ac:dyDescent="0.3"/>
    <row r="2" spans="2:26" x14ac:dyDescent="0.25">
      <c r="B2" s="51" t="s">
        <v>192</v>
      </c>
      <c r="C2" s="52"/>
      <c r="D2" s="52"/>
      <c r="E2" s="53" t="s">
        <v>24</v>
      </c>
      <c r="F2" s="54"/>
      <c r="G2" s="52" t="s">
        <v>193</v>
      </c>
      <c r="H2" s="52"/>
      <c r="I2" s="52"/>
      <c r="J2" s="55" t="s">
        <v>24</v>
      </c>
      <c r="U2" t="s">
        <v>245</v>
      </c>
      <c r="Z2" s="7">
        <v>254335</v>
      </c>
    </row>
    <row r="3" spans="2:26" x14ac:dyDescent="0.25">
      <c r="B3" s="56"/>
      <c r="E3" s="49"/>
      <c r="F3" s="48"/>
      <c r="J3" s="57"/>
    </row>
    <row r="4" spans="2:26" x14ac:dyDescent="0.25">
      <c r="B4" s="56"/>
      <c r="E4" s="49"/>
      <c r="F4" s="48"/>
      <c r="J4" s="57"/>
      <c r="X4" s="5" t="s">
        <v>246</v>
      </c>
      <c r="Z4" s="5" t="s">
        <v>247</v>
      </c>
    </row>
    <row r="5" spans="2:26" x14ac:dyDescent="0.25">
      <c r="B5" s="56" t="s">
        <v>196</v>
      </c>
      <c r="E5" s="49">
        <v>50000</v>
      </c>
      <c r="F5" s="48"/>
      <c r="G5" t="s">
        <v>197</v>
      </c>
      <c r="J5" s="57">
        <v>1382395</v>
      </c>
    </row>
    <row r="6" spans="2:26" x14ac:dyDescent="0.25">
      <c r="B6" s="56" t="s">
        <v>198</v>
      </c>
      <c r="E6" s="49">
        <v>250000</v>
      </c>
      <c r="F6" s="48"/>
      <c r="G6" t="s">
        <v>29</v>
      </c>
      <c r="J6" s="57">
        <v>2135</v>
      </c>
    </row>
    <row r="7" spans="2:26" x14ac:dyDescent="0.25">
      <c r="B7" s="56" t="s">
        <v>199</v>
      </c>
      <c r="E7" s="49">
        <v>1070870</v>
      </c>
      <c r="F7" s="48"/>
      <c r="G7" t="s">
        <v>200</v>
      </c>
      <c r="J7" s="57">
        <v>1105914</v>
      </c>
      <c r="U7" t="s">
        <v>235</v>
      </c>
      <c r="V7">
        <v>75000</v>
      </c>
      <c r="X7">
        <f>V7*0</f>
        <v>0</v>
      </c>
      <c r="Z7">
        <f>V7*1</f>
        <v>75000</v>
      </c>
    </row>
    <row r="8" spans="2:26" x14ac:dyDescent="0.25">
      <c r="B8" s="56"/>
      <c r="E8" s="49"/>
      <c r="F8" s="48"/>
      <c r="G8" t="s">
        <v>203</v>
      </c>
      <c r="J8" s="58">
        <v>278616</v>
      </c>
      <c r="U8" t="s">
        <v>236</v>
      </c>
      <c r="V8">
        <v>12678</v>
      </c>
      <c r="X8">
        <f>V8*1</f>
        <v>12678</v>
      </c>
      <c r="Z8">
        <f>V8*0</f>
        <v>0</v>
      </c>
    </row>
    <row r="9" spans="2:26" x14ac:dyDescent="0.25">
      <c r="B9" s="65" t="s">
        <v>204</v>
      </c>
      <c r="E9" s="49"/>
      <c r="F9" s="48"/>
      <c r="J9" s="57"/>
      <c r="U9" t="s">
        <v>237</v>
      </c>
      <c r="V9">
        <v>132430</v>
      </c>
      <c r="X9">
        <f>V9*1</f>
        <v>132430</v>
      </c>
      <c r="Z9">
        <f>V9*0</f>
        <v>0</v>
      </c>
    </row>
    <row r="10" spans="2:26" x14ac:dyDescent="0.25">
      <c r="B10" s="56" t="s">
        <v>207</v>
      </c>
      <c r="E10" s="49">
        <v>0</v>
      </c>
      <c r="F10" s="48"/>
      <c r="G10" t="s">
        <v>208</v>
      </c>
      <c r="J10" s="57">
        <v>2875</v>
      </c>
      <c r="U10" t="s">
        <v>238</v>
      </c>
      <c r="V10">
        <v>10890</v>
      </c>
      <c r="X10">
        <f>V10*0</f>
        <v>0</v>
      </c>
      <c r="Z10">
        <f>V10*1</f>
        <v>10890</v>
      </c>
    </row>
    <row r="11" spans="2:26" x14ac:dyDescent="0.25">
      <c r="B11" s="56" t="s">
        <v>211</v>
      </c>
      <c r="E11" s="49">
        <v>818125</v>
      </c>
      <c r="F11" s="48"/>
      <c r="G11" t="s">
        <v>212</v>
      </c>
      <c r="J11" s="59">
        <v>0</v>
      </c>
      <c r="U11" t="s">
        <v>239</v>
      </c>
      <c r="V11">
        <v>15000</v>
      </c>
      <c r="X11">
        <f>V11*0</f>
        <v>0</v>
      </c>
      <c r="Z11">
        <f>V11*1</f>
        <v>15000</v>
      </c>
    </row>
    <row r="12" spans="2:26" x14ac:dyDescent="0.25">
      <c r="B12" s="56" t="s">
        <v>213</v>
      </c>
      <c r="E12" s="49">
        <v>1976635</v>
      </c>
      <c r="F12" s="48"/>
      <c r="G12" t="s">
        <v>214</v>
      </c>
      <c r="J12" s="58">
        <v>2875</v>
      </c>
      <c r="U12" t="s">
        <v>240</v>
      </c>
      <c r="V12">
        <v>362051</v>
      </c>
      <c r="X12">
        <f>V12*1</f>
        <v>362051</v>
      </c>
      <c r="Z12">
        <f>V12*0</f>
        <v>0</v>
      </c>
    </row>
    <row r="13" spans="2:26" x14ac:dyDescent="0.25">
      <c r="B13" s="56" t="s">
        <v>215</v>
      </c>
      <c r="E13" s="50">
        <v>2911910</v>
      </c>
      <c r="F13" s="48"/>
      <c r="J13" s="57"/>
      <c r="U13" t="s">
        <v>241</v>
      </c>
      <c r="V13">
        <v>6800</v>
      </c>
      <c r="X13">
        <f>V13*0</f>
        <v>0</v>
      </c>
      <c r="Z13">
        <f>V13*1</f>
        <v>6800</v>
      </c>
    </row>
    <row r="14" spans="2:26" x14ac:dyDescent="0.25">
      <c r="B14" s="56" t="s">
        <v>216</v>
      </c>
      <c r="E14" s="47">
        <v>4282780</v>
      </c>
      <c r="F14" s="48"/>
      <c r="G14" s="1" t="s">
        <v>217</v>
      </c>
      <c r="J14" s="57"/>
      <c r="U14" t="s">
        <v>242</v>
      </c>
      <c r="V14">
        <v>8021</v>
      </c>
      <c r="X14">
        <f t="shared" ref="X14:X15" si="0">V14*0</f>
        <v>0</v>
      </c>
      <c r="Z14">
        <f t="shared" ref="Z14:Z15" si="1">V14*1</f>
        <v>8021</v>
      </c>
    </row>
    <row r="15" spans="2:26" x14ac:dyDescent="0.25">
      <c r="B15" s="56"/>
      <c r="E15" s="49"/>
      <c r="F15" s="48"/>
      <c r="G15" t="s">
        <v>218</v>
      </c>
      <c r="J15" s="57">
        <v>0</v>
      </c>
      <c r="U15" t="s">
        <v>243</v>
      </c>
      <c r="V15">
        <v>7500</v>
      </c>
      <c r="X15">
        <f t="shared" si="0"/>
        <v>0</v>
      </c>
      <c r="Z15">
        <f t="shared" si="1"/>
        <v>7500</v>
      </c>
    </row>
    <row r="16" spans="2:26" x14ac:dyDescent="0.25">
      <c r="B16" s="56" t="s">
        <v>221</v>
      </c>
      <c r="E16" s="49">
        <v>0</v>
      </c>
      <c r="F16" s="48"/>
      <c r="G16" t="s">
        <v>222</v>
      </c>
      <c r="J16" s="59">
        <v>0</v>
      </c>
      <c r="U16" t="s">
        <v>244</v>
      </c>
      <c r="V16">
        <v>9153</v>
      </c>
      <c r="X16">
        <f t="shared" ref="X16:X17" si="2">V16*1</f>
        <v>9153</v>
      </c>
      <c r="Z16">
        <f>V16*0</f>
        <v>0</v>
      </c>
    </row>
    <row r="17" spans="2:26" x14ac:dyDescent="0.25">
      <c r="B17" s="56" t="s">
        <v>225</v>
      </c>
      <c r="E17" s="49">
        <v>0</v>
      </c>
      <c r="F17" s="48"/>
      <c r="G17" t="s">
        <v>226</v>
      </c>
      <c r="J17" s="57">
        <v>0</v>
      </c>
      <c r="U17" t="s">
        <v>231</v>
      </c>
      <c r="V17">
        <v>102482</v>
      </c>
      <c r="X17">
        <f t="shared" si="2"/>
        <v>102482</v>
      </c>
      <c r="Z17">
        <f>V17*0</f>
        <v>0</v>
      </c>
    </row>
    <row r="18" spans="2:26" x14ac:dyDescent="0.25">
      <c r="B18" s="56" t="s">
        <v>227</v>
      </c>
      <c r="E18" s="47">
        <v>326696</v>
      </c>
      <c r="F18" s="48"/>
      <c r="G18" t="s">
        <v>228</v>
      </c>
      <c r="J18" s="58">
        <v>0</v>
      </c>
      <c r="U18" t="s">
        <v>232</v>
      </c>
      <c r="V18">
        <v>340570</v>
      </c>
      <c r="X18">
        <f>V18*0.5</f>
        <v>170285</v>
      </c>
      <c r="Z18">
        <f>V18*0.5</f>
        <v>170285</v>
      </c>
    </row>
    <row r="19" spans="2:26" ht="15.75" thickBot="1" x14ac:dyDescent="0.3">
      <c r="B19" s="60" t="s">
        <v>229</v>
      </c>
      <c r="C19" s="61"/>
      <c r="D19" s="61"/>
      <c r="E19" s="62">
        <v>0</v>
      </c>
      <c r="F19" s="63"/>
      <c r="G19" s="61"/>
      <c r="H19" s="61"/>
      <c r="I19" s="61"/>
      <c r="J19" s="64"/>
      <c r="U19" t="s">
        <v>233</v>
      </c>
      <c r="V19">
        <v>40700</v>
      </c>
      <c r="X19">
        <f>V19*0</f>
        <v>0</v>
      </c>
      <c r="Z19">
        <f>V19*1</f>
        <v>40700</v>
      </c>
    </row>
    <row r="20" spans="2:26" x14ac:dyDescent="0.25">
      <c r="U20" t="s">
        <v>234</v>
      </c>
      <c r="V20">
        <v>0</v>
      </c>
      <c r="X20">
        <f>V20*1</f>
        <v>0</v>
      </c>
      <c r="Z20">
        <f>V20*0</f>
        <v>0</v>
      </c>
    </row>
    <row r="21" spans="2:26" x14ac:dyDescent="0.25">
      <c r="X21" s="1">
        <f>SUM(X7:X20)</f>
        <v>789079</v>
      </c>
      <c r="Z21" s="1">
        <f>SUM(Z7:Z20)</f>
        <v>334196</v>
      </c>
    </row>
    <row r="24" spans="2:26" x14ac:dyDescent="0.25">
      <c r="U24" s="1" t="s">
        <v>249</v>
      </c>
      <c r="W24" s="37">
        <f>X21+Z2</f>
        <v>1043414</v>
      </c>
    </row>
    <row r="25" spans="2:26" x14ac:dyDescent="0.25">
      <c r="U25" s="1" t="s">
        <v>248</v>
      </c>
      <c r="W25">
        <f>Z21</f>
        <v>334196</v>
      </c>
    </row>
  </sheetData>
  <pageMargins left="0.7" right="0.7" top="0.75" bottom="0.75" header="0.3" footer="0.3"/>
  <ignoredErrors>
    <ignoredError sqref="X12 Z12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F5BA-CBE1-4E5E-9ECC-E35C511B6B3D}">
  <dimension ref="B2:B45"/>
  <sheetViews>
    <sheetView topLeftCell="A26" workbookViewId="0">
      <selection activeCell="B46" sqref="B46"/>
    </sheetView>
  </sheetViews>
  <sheetFormatPr defaultRowHeight="15" x14ac:dyDescent="0.25"/>
  <sheetData>
    <row r="2" spans="2:2" x14ac:dyDescent="0.25">
      <c r="B2" t="s">
        <v>250</v>
      </c>
    </row>
    <row r="4" spans="2:2" x14ac:dyDescent="0.25">
      <c r="B4" t="s">
        <v>251</v>
      </c>
    </row>
    <row r="7" spans="2:2" x14ac:dyDescent="0.25">
      <c r="B7" t="s">
        <v>252</v>
      </c>
    </row>
    <row r="8" spans="2:2" x14ac:dyDescent="0.25">
      <c r="B8" t="s">
        <v>253</v>
      </c>
    </row>
    <row r="10" spans="2:2" x14ac:dyDescent="0.25">
      <c r="B10" t="s">
        <v>254</v>
      </c>
    </row>
    <row r="11" spans="2:2" x14ac:dyDescent="0.25">
      <c r="B11" t="s">
        <v>255</v>
      </c>
    </row>
    <row r="13" spans="2:2" x14ac:dyDescent="0.25">
      <c r="B13" t="s">
        <v>256</v>
      </c>
    </row>
    <row r="14" spans="2:2" x14ac:dyDescent="0.25">
      <c r="B14" t="s">
        <v>257</v>
      </c>
    </row>
    <row r="16" spans="2:2" x14ac:dyDescent="0.25">
      <c r="B16" t="s">
        <v>258</v>
      </c>
    </row>
    <row r="18" spans="2:2" x14ac:dyDescent="0.25">
      <c r="B18" t="s">
        <v>259</v>
      </c>
    </row>
    <row r="20" spans="2:2" x14ac:dyDescent="0.25">
      <c r="B20" t="s">
        <v>260</v>
      </c>
    </row>
    <row r="21" spans="2:2" x14ac:dyDescent="0.25">
      <c r="B21" t="s">
        <v>261</v>
      </c>
    </row>
    <row r="22" spans="2:2" x14ac:dyDescent="0.25">
      <c r="B22" t="s">
        <v>262</v>
      </c>
    </row>
    <row r="25" spans="2:2" x14ac:dyDescent="0.25">
      <c r="B25" t="s">
        <v>263</v>
      </c>
    </row>
    <row r="27" spans="2:2" x14ac:dyDescent="0.25">
      <c r="B27" t="s">
        <v>264</v>
      </c>
    </row>
    <row r="29" spans="2:2" x14ac:dyDescent="0.25">
      <c r="B29" t="s">
        <v>265</v>
      </c>
    </row>
    <row r="30" spans="2:2" x14ac:dyDescent="0.25">
      <c r="B30" t="s">
        <v>266</v>
      </c>
    </row>
    <row r="34" spans="2:2" x14ac:dyDescent="0.25">
      <c r="B34" t="s">
        <v>267</v>
      </c>
    </row>
    <row r="36" spans="2:2" x14ac:dyDescent="0.25">
      <c r="B36" t="s">
        <v>268</v>
      </c>
    </row>
    <row r="37" spans="2:2" x14ac:dyDescent="0.25">
      <c r="B37" t="s">
        <v>269</v>
      </c>
    </row>
    <row r="40" spans="2:2" x14ac:dyDescent="0.25">
      <c r="B40" t="s">
        <v>271</v>
      </c>
    </row>
    <row r="41" spans="2:2" x14ac:dyDescent="0.25">
      <c r="B41" t="s">
        <v>270</v>
      </c>
    </row>
    <row r="43" spans="2:2" x14ac:dyDescent="0.25">
      <c r="B43" t="s">
        <v>272</v>
      </c>
    </row>
    <row r="45" spans="2:2" x14ac:dyDescent="0.25">
      <c r="B45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2EF7-BFB5-498F-A034-26A431302A52}">
  <dimension ref="B2:S31"/>
  <sheetViews>
    <sheetView topLeftCell="A10" workbookViewId="0">
      <selection activeCell="I29" sqref="I29"/>
    </sheetView>
  </sheetViews>
  <sheetFormatPr defaultRowHeight="15" x14ac:dyDescent="0.25"/>
  <cols>
    <col min="2" max="2" width="32.42578125" bestFit="1" customWidth="1"/>
    <col min="4" max="4" width="11.5703125" bestFit="1" customWidth="1"/>
    <col min="5" max="9" width="10.5703125" bestFit="1" customWidth="1"/>
  </cols>
  <sheetData>
    <row r="2" spans="2:19" x14ac:dyDescent="0.25">
      <c r="B2" s="66" t="s">
        <v>274</v>
      </c>
      <c r="C2" s="67"/>
      <c r="D2" s="67"/>
      <c r="E2" s="67"/>
      <c r="I2" s="66" t="s">
        <v>279</v>
      </c>
      <c r="J2" s="71"/>
      <c r="K2" s="72"/>
      <c r="L2" s="73" t="s">
        <v>280</v>
      </c>
      <c r="M2" s="73" t="s">
        <v>280</v>
      </c>
      <c r="N2" s="73" t="s">
        <v>280</v>
      </c>
      <c r="O2" s="73" t="s">
        <v>280</v>
      </c>
      <c r="P2" s="73" t="s">
        <v>280</v>
      </c>
      <c r="Q2" s="73" t="s">
        <v>280</v>
      </c>
      <c r="R2" s="73" t="s">
        <v>280</v>
      </c>
      <c r="S2" s="73" t="s">
        <v>280</v>
      </c>
    </row>
    <row r="3" spans="2:19" x14ac:dyDescent="0.25">
      <c r="B3" s="68" t="s">
        <v>275</v>
      </c>
      <c r="C3" s="67"/>
      <c r="D3" s="67"/>
      <c r="E3" s="69">
        <v>4000000</v>
      </c>
      <c r="I3" s="67"/>
      <c r="J3" s="67"/>
      <c r="K3" s="67"/>
      <c r="L3" s="74">
        <v>1</v>
      </c>
      <c r="M3" s="74">
        <v>2</v>
      </c>
      <c r="N3" s="74">
        <v>3</v>
      </c>
      <c r="O3" s="74">
        <v>4</v>
      </c>
      <c r="P3" s="74">
        <v>5</v>
      </c>
      <c r="Q3" s="74">
        <v>6</v>
      </c>
      <c r="R3" s="74">
        <v>7</v>
      </c>
      <c r="S3" s="74">
        <v>8</v>
      </c>
    </row>
    <row r="4" spans="2:19" x14ac:dyDescent="0.25">
      <c r="B4" s="67" t="s">
        <v>276</v>
      </c>
      <c r="C4" s="67"/>
      <c r="D4" s="67"/>
      <c r="E4" s="69">
        <v>0</v>
      </c>
      <c r="I4" s="66" t="s">
        <v>281</v>
      </c>
      <c r="J4" s="67"/>
      <c r="K4" s="67"/>
      <c r="L4" s="67"/>
      <c r="M4" s="67"/>
      <c r="N4" s="67"/>
      <c r="O4" s="69"/>
      <c r="P4" s="67"/>
      <c r="Q4" s="67"/>
      <c r="R4" s="67"/>
      <c r="S4" s="67"/>
    </row>
    <row r="5" spans="2:19" x14ac:dyDescent="0.25">
      <c r="B5" s="67" t="s">
        <v>277</v>
      </c>
      <c r="C5" s="67"/>
      <c r="D5" s="67"/>
      <c r="E5" s="70">
        <v>-43916</v>
      </c>
      <c r="I5" s="67" t="s">
        <v>282</v>
      </c>
      <c r="J5" s="67"/>
      <c r="K5" s="67"/>
      <c r="L5" s="69">
        <v>108.01</v>
      </c>
      <c r="M5" s="69">
        <v>108.01</v>
      </c>
      <c r="N5" s="69">
        <v>108.01</v>
      </c>
      <c r="O5" s="69">
        <v>108.01</v>
      </c>
      <c r="P5" s="69">
        <v>108.01</v>
      </c>
      <c r="Q5" s="69">
        <v>108.01</v>
      </c>
      <c r="R5" s="69">
        <v>108.01</v>
      </c>
      <c r="S5" s="69">
        <v>108.01</v>
      </c>
    </row>
    <row r="6" spans="2:19" x14ac:dyDescent="0.25">
      <c r="B6" s="67" t="s">
        <v>278</v>
      </c>
      <c r="C6" s="67"/>
      <c r="D6" s="67"/>
      <c r="E6" s="69">
        <v>3956084</v>
      </c>
      <c r="I6" s="67" t="s">
        <v>283</v>
      </c>
      <c r="J6" s="67"/>
      <c r="K6" s="67"/>
      <c r="L6" s="69">
        <v>4320400</v>
      </c>
      <c r="M6" s="69">
        <v>4320400</v>
      </c>
      <c r="N6" s="69">
        <v>4320400</v>
      </c>
      <c r="O6" s="69">
        <v>4320400</v>
      </c>
      <c r="P6" s="69">
        <v>4320400</v>
      </c>
      <c r="Q6" s="69">
        <v>4320400</v>
      </c>
      <c r="R6" s="69">
        <v>4320400</v>
      </c>
      <c r="S6" s="69">
        <v>4320400</v>
      </c>
    </row>
    <row r="7" spans="2:19" x14ac:dyDescent="0.25">
      <c r="I7" s="67"/>
      <c r="J7" s="67"/>
      <c r="K7" s="67"/>
      <c r="L7" s="67"/>
      <c r="M7" s="67"/>
      <c r="N7" s="67"/>
      <c r="O7" s="69"/>
      <c r="P7" s="67"/>
      <c r="Q7" s="67"/>
      <c r="R7" s="67"/>
      <c r="S7" s="67"/>
    </row>
    <row r="8" spans="2:19" x14ac:dyDescent="0.25">
      <c r="I8" s="67" t="s">
        <v>284</v>
      </c>
      <c r="J8" s="67"/>
      <c r="K8" s="67"/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</row>
    <row r="9" spans="2:19" x14ac:dyDescent="0.25">
      <c r="I9" s="67" t="s">
        <v>285</v>
      </c>
      <c r="J9" s="67"/>
      <c r="K9" s="67"/>
      <c r="L9" s="75">
        <v>4320400</v>
      </c>
      <c r="M9" s="75">
        <v>4320400</v>
      </c>
      <c r="N9" s="75">
        <v>4320400</v>
      </c>
      <c r="O9" s="75">
        <v>4320400</v>
      </c>
      <c r="P9" s="75">
        <v>4320400</v>
      </c>
      <c r="Q9" s="75">
        <v>4320400</v>
      </c>
      <c r="R9" s="75">
        <v>4320400</v>
      </c>
      <c r="S9" s="75">
        <v>4320400</v>
      </c>
    </row>
    <row r="12" spans="2:19" x14ac:dyDescent="0.25">
      <c r="O12" s="5" t="s">
        <v>161</v>
      </c>
      <c r="P12" s="5" t="s">
        <v>162</v>
      </c>
    </row>
    <row r="13" spans="2:19" x14ac:dyDescent="0.25">
      <c r="N13" s="22" t="s">
        <v>165</v>
      </c>
      <c r="O13" s="7">
        <f>O14*0.9</f>
        <v>3600000</v>
      </c>
      <c r="P13" s="7">
        <f>P14*0.9</f>
        <v>3960000</v>
      </c>
    </row>
    <row r="14" spans="2:19" x14ac:dyDescent="0.25">
      <c r="B14" s="1" t="s">
        <v>286</v>
      </c>
      <c r="D14" t="s">
        <v>156</v>
      </c>
      <c r="N14" s="22" t="s">
        <v>164</v>
      </c>
      <c r="O14" s="7">
        <v>4000000</v>
      </c>
      <c r="P14" s="7">
        <f>O15</f>
        <v>4400000</v>
      </c>
    </row>
    <row r="15" spans="2:19" x14ac:dyDescent="0.25">
      <c r="N15" s="22" t="s">
        <v>163</v>
      </c>
      <c r="O15" s="7">
        <f>O14*1.1</f>
        <v>4400000</v>
      </c>
      <c r="P15" s="7">
        <f>P14*1.1</f>
        <v>4840000</v>
      </c>
    </row>
    <row r="16" spans="2:19" x14ac:dyDescent="0.25">
      <c r="D16" s="1" t="s">
        <v>287</v>
      </c>
    </row>
    <row r="20" spans="2:9" x14ac:dyDescent="0.25">
      <c r="B20" s="140"/>
      <c r="C20" s="140"/>
      <c r="D20" s="141" t="s">
        <v>170</v>
      </c>
      <c r="E20" s="141" t="s">
        <v>171</v>
      </c>
      <c r="F20" s="141" t="s">
        <v>172</v>
      </c>
      <c r="G20" s="141" t="s">
        <v>173</v>
      </c>
      <c r="H20" s="141" t="s">
        <v>174</v>
      </c>
      <c r="I20" s="141" t="s">
        <v>175</v>
      </c>
    </row>
    <row r="21" spans="2:9" x14ac:dyDescent="0.25">
      <c r="B21" s="142" t="s">
        <v>166</v>
      </c>
      <c r="C21" s="140"/>
      <c r="D21" s="143">
        <v>0</v>
      </c>
      <c r="E21" s="143">
        <v>0</v>
      </c>
      <c r="F21" s="143">
        <v>0</v>
      </c>
      <c r="G21" s="143">
        <v>400000</v>
      </c>
      <c r="H21" s="143">
        <v>-440000</v>
      </c>
      <c r="I21" s="143">
        <v>880000</v>
      </c>
    </row>
    <row r="22" spans="2:9" x14ac:dyDescent="0.25">
      <c r="B22" s="142" t="s">
        <v>167</v>
      </c>
      <c r="C22" s="140"/>
      <c r="D22" s="143">
        <v>108.01</v>
      </c>
      <c r="E22" s="143">
        <v>110.02</v>
      </c>
      <c r="F22" s="143">
        <v>110.42</v>
      </c>
      <c r="G22" s="143">
        <v>113.5</v>
      </c>
      <c r="H22" s="143">
        <v>116</v>
      </c>
      <c r="I22" s="143">
        <v>120</v>
      </c>
    </row>
    <row r="23" spans="2:9" x14ac:dyDescent="0.25">
      <c r="B23" s="142" t="s">
        <v>288</v>
      </c>
      <c r="C23" s="140"/>
      <c r="D23" s="143">
        <v>0</v>
      </c>
      <c r="E23" s="143">
        <f>E21*D22/100</f>
        <v>0</v>
      </c>
      <c r="F23" s="143">
        <f t="shared" ref="F23:I23" si="0">F21*E22/100</f>
        <v>0</v>
      </c>
      <c r="G23" s="143">
        <f t="shared" si="0"/>
        <v>441680</v>
      </c>
      <c r="H23" s="143">
        <f t="shared" si="0"/>
        <v>-499400</v>
      </c>
      <c r="I23" s="143">
        <f t="shared" si="0"/>
        <v>1020800</v>
      </c>
    </row>
    <row r="24" spans="2:9" x14ac:dyDescent="0.25">
      <c r="B24" s="140"/>
      <c r="C24" s="140"/>
      <c r="D24" s="143"/>
      <c r="E24" s="143"/>
      <c r="F24" s="143"/>
      <c r="G24" s="143"/>
      <c r="H24" s="143"/>
      <c r="I24" s="143"/>
    </row>
    <row r="25" spans="2:9" x14ac:dyDescent="0.25">
      <c r="B25" s="142" t="s">
        <v>164</v>
      </c>
      <c r="C25" s="140"/>
      <c r="D25" s="143">
        <v>4000000</v>
      </c>
      <c r="E25" s="143">
        <f>D25+E21</f>
        <v>4000000</v>
      </c>
      <c r="F25" s="143">
        <f>E25+F21</f>
        <v>4000000</v>
      </c>
      <c r="G25" s="143">
        <f>F25+G21</f>
        <v>4400000</v>
      </c>
      <c r="H25" s="143">
        <f>G25+H21</f>
        <v>3960000</v>
      </c>
      <c r="I25" s="143">
        <f>H25+I21</f>
        <v>4840000</v>
      </c>
    </row>
    <row r="26" spans="2:9" x14ac:dyDescent="0.25">
      <c r="B26" s="142" t="s">
        <v>289</v>
      </c>
      <c r="C26" s="140"/>
      <c r="D26" s="143">
        <f>D25*D22/100</f>
        <v>4320400</v>
      </c>
      <c r="E26" s="143">
        <f>E25*E22/100</f>
        <v>4400800</v>
      </c>
      <c r="F26" s="143">
        <f t="shared" ref="F26:I26" si="1">F25*F22/100</f>
        <v>4416800</v>
      </c>
      <c r="G26" s="143">
        <f t="shared" si="1"/>
        <v>4994000</v>
      </c>
      <c r="H26" s="143">
        <f t="shared" si="1"/>
        <v>4593600</v>
      </c>
      <c r="I26" s="143">
        <f t="shared" si="1"/>
        <v>5808000</v>
      </c>
    </row>
    <row r="27" spans="2:9" x14ac:dyDescent="0.25">
      <c r="B27" s="140"/>
      <c r="C27" s="140"/>
      <c r="D27" s="140"/>
      <c r="E27" s="140"/>
      <c r="F27" s="140"/>
      <c r="G27" s="140"/>
      <c r="H27" s="140"/>
      <c r="I27" s="140"/>
    </row>
    <row r="28" spans="2:9" x14ac:dyDescent="0.25">
      <c r="B28" s="142" t="s">
        <v>183</v>
      </c>
      <c r="C28" s="140"/>
      <c r="D28" s="143">
        <v>0</v>
      </c>
      <c r="E28" s="143">
        <v>0</v>
      </c>
      <c r="F28" s="143">
        <v>0</v>
      </c>
      <c r="G28" s="143">
        <v>0</v>
      </c>
      <c r="H28" s="143">
        <v>2</v>
      </c>
      <c r="I28" s="143">
        <v>5</v>
      </c>
    </row>
    <row r="29" spans="2:9" x14ac:dyDescent="0.25">
      <c r="B29" s="142" t="s">
        <v>290</v>
      </c>
      <c r="C29" s="140"/>
      <c r="D29" s="143">
        <v>0</v>
      </c>
      <c r="E29" s="143">
        <f>D25*E28/100</f>
        <v>0</v>
      </c>
      <c r="F29" s="143">
        <f t="shared" ref="F29:I29" si="2">E25*F28/100</f>
        <v>0</v>
      </c>
      <c r="G29" s="143">
        <f t="shared" si="2"/>
        <v>0</v>
      </c>
      <c r="H29" s="143">
        <f t="shared" si="2"/>
        <v>88000</v>
      </c>
      <c r="I29" s="143">
        <f t="shared" si="2"/>
        <v>198000</v>
      </c>
    </row>
    <row r="30" spans="2:9" x14ac:dyDescent="0.25">
      <c r="B30" s="140"/>
      <c r="C30" s="140"/>
      <c r="D30" s="140"/>
      <c r="E30" s="140"/>
      <c r="F30" s="140"/>
      <c r="G30" s="140"/>
      <c r="H30" s="140"/>
      <c r="I30" s="140"/>
    </row>
    <row r="31" spans="2:9" x14ac:dyDescent="0.25">
      <c r="B31" s="142" t="s">
        <v>291</v>
      </c>
      <c r="C31" s="140"/>
      <c r="D31" s="143">
        <f>D26-D23+D29</f>
        <v>4320400</v>
      </c>
      <c r="E31" s="143">
        <f>E26-E23+E29</f>
        <v>4400800</v>
      </c>
      <c r="F31" s="143">
        <f>F26-F23-E23+F29+E29</f>
        <v>4416800</v>
      </c>
      <c r="G31" s="143">
        <f>G26-G23-F23-E23+G29+F29+E29</f>
        <v>4552320</v>
      </c>
      <c r="H31" s="143">
        <f>H26-H23-G23-F23-E23+H29+G29+F29+E29</f>
        <v>4739320</v>
      </c>
      <c r="I31" s="143">
        <f>I26-I23-H23-G23-F23-E23+I29+H29+G29+F29+E29</f>
        <v>5130920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Decision</vt:lpstr>
      <vt:lpstr>Revenue</vt:lpstr>
      <vt:lpstr>Cost of Production</vt:lpstr>
      <vt:lpstr>Hired Transport</vt:lpstr>
      <vt:lpstr>Shares &amp; Dividend</vt:lpstr>
      <vt:lpstr>Receipts &amp; Receivables</vt:lpstr>
      <vt:lpstr>Payments &amp; Payables</vt:lpstr>
      <vt:lpstr>Valuation</vt:lpstr>
      <vt:lpstr>Investment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EZIECHINA AMAKA</dc:creator>
  <cp:lastModifiedBy>EZIECHINA AMAKA</cp:lastModifiedBy>
  <dcterms:created xsi:type="dcterms:W3CDTF">2024-11-21T20:32:40Z</dcterms:created>
  <dcterms:modified xsi:type="dcterms:W3CDTF">2024-11-25T13:42:30Z</dcterms:modified>
</cp:coreProperties>
</file>